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575" windowWidth="24285" windowHeight="9210"/>
  </bookViews>
  <sheets>
    <sheet name="PistasHG" sheetId="1" r:id="rId1"/>
    <sheet name="BRIEFING" sheetId="2" r:id="rId2"/>
    <sheet name="PistasRF" sheetId="5" state="hidden" r:id="rId3"/>
    <sheet name="BRIEFING_RF" sheetId="13" state="hidden" r:id="rId4"/>
    <sheet name="Resumos da Etapa" sheetId="8" r:id="rId5"/>
    <sheet name="Plan1" sheetId="14" r:id="rId6"/>
  </sheets>
  <definedNames>
    <definedName name="_GoBack" localSheetId="0">PistasHG!$W$8</definedName>
    <definedName name="_xlnm.Print_Area" localSheetId="1">BRIEFING!$A$3:$B$12</definedName>
    <definedName name="_xlnm.Print_Area" localSheetId="3">BRIEFING_RF!$A$3:$B$12</definedName>
    <definedName name="_xlnm.Print_Area" localSheetId="4">'Resumos da Etapa'!$A$1:$D$22</definedName>
  </definedNames>
  <calcPr calcId="145621"/>
</workbook>
</file>

<file path=xl/calcChain.xml><?xml version="1.0" encoding="utf-8"?>
<calcChain xmlns="http://schemas.openxmlformats.org/spreadsheetml/2006/main">
  <c r="D18" i="1" l="1"/>
  <c r="D17" i="1"/>
  <c r="D16" i="1"/>
  <c r="C16" i="1" s="1"/>
  <c r="D15" i="1"/>
  <c r="C15" i="1" s="1"/>
  <c r="D14" i="1"/>
  <c r="D13" i="1"/>
  <c r="C13" i="1" s="1"/>
  <c r="D12" i="1"/>
  <c r="Q12" i="1" s="1"/>
  <c r="D11" i="1"/>
  <c r="C11" i="1" s="1"/>
  <c r="D10" i="1"/>
  <c r="C10" i="1" s="1"/>
  <c r="D9" i="1"/>
  <c r="C9" i="1" s="1"/>
  <c r="D8" i="1"/>
  <c r="C8" i="1" s="1"/>
  <c r="D7" i="1"/>
  <c r="Q7" i="1" s="1"/>
  <c r="B141" i="2"/>
  <c r="B129" i="2"/>
  <c r="B117" i="2"/>
  <c r="B105" i="2"/>
  <c r="B93" i="2"/>
  <c r="B81" i="2"/>
  <c r="B69" i="2"/>
  <c r="B57" i="2"/>
  <c r="B45" i="2"/>
  <c r="B33" i="2"/>
  <c r="B21" i="2"/>
  <c r="B9" i="2"/>
  <c r="C18" i="1"/>
  <c r="C17" i="1"/>
  <c r="C14" i="1"/>
  <c r="Q18" i="1"/>
  <c r="Q17" i="1"/>
  <c r="Q15" i="1"/>
  <c r="Q14" i="1"/>
  <c r="Q10" i="1"/>
  <c r="Q9" i="1"/>
  <c r="Q13" i="1" l="1"/>
  <c r="C12" i="1"/>
  <c r="Q11" i="1"/>
  <c r="Q8" i="1"/>
  <c r="Q16" i="1"/>
  <c r="C7" i="1"/>
  <c r="B34" i="2"/>
  <c r="B145" i="13"/>
  <c r="B133" i="13"/>
  <c r="B121" i="13"/>
  <c r="B109" i="13"/>
  <c r="B97" i="13"/>
  <c r="B85" i="13"/>
  <c r="B73" i="13"/>
  <c r="B61" i="13"/>
  <c r="B37" i="13"/>
  <c r="B25" i="13"/>
  <c r="B13" i="13"/>
  <c r="B145" i="2"/>
  <c r="B133" i="2"/>
  <c r="B121" i="2"/>
  <c r="B109" i="2"/>
  <c r="B97" i="2"/>
  <c r="B85" i="2"/>
  <c r="B73" i="2"/>
  <c r="B37" i="2"/>
  <c r="B25" i="2"/>
  <c r="B13" i="2"/>
  <c r="B12" i="2" l="1"/>
  <c r="B49" i="2"/>
  <c r="C10" i="8"/>
  <c r="B10" i="8"/>
  <c r="B9" i="8"/>
  <c r="D9" i="8" s="1"/>
  <c r="G19" i="5"/>
  <c r="H19" i="5"/>
  <c r="I19" i="5"/>
  <c r="J19" i="5"/>
  <c r="K19" i="5"/>
  <c r="L19" i="5"/>
  <c r="M19" i="5"/>
  <c r="N19" i="5"/>
  <c r="O19" i="5"/>
  <c r="P19" i="5"/>
  <c r="G19" i="1"/>
  <c r="H19" i="1"/>
  <c r="I19" i="1"/>
  <c r="J19" i="1"/>
  <c r="K19" i="1"/>
  <c r="L19" i="1"/>
  <c r="M19" i="1"/>
  <c r="N19" i="1"/>
  <c r="O19" i="1"/>
  <c r="P19" i="1"/>
  <c r="F19" i="5"/>
  <c r="F19" i="1"/>
  <c r="C8" i="5"/>
  <c r="C9" i="5"/>
  <c r="C10" i="5"/>
  <c r="C11" i="5"/>
  <c r="C12" i="5"/>
  <c r="C13" i="5"/>
  <c r="C14" i="5"/>
  <c r="C15" i="5"/>
  <c r="C16" i="5"/>
  <c r="C17" i="5"/>
  <c r="C18" i="5"/>
  <c r="C7" i="5"/>
  <c r="C19" i="5" s="1"/>
  <c r="C19" i="1" l="1"/>
  <c r="D19" i="1" l="1"/>
  <c r="B144" i="13"/>
  <c r="B143" i="13"/>
  <c r="B142" i="13"/>
  <c r="B141" i="13"/>
  <c r="B140" i="13"/>
  <c r="B139" i="13"/>
  <c r="I138" i="13"/>
  <c r="I137" i="13" s="1"/>
  <c r="H138" i="13"/>
  <c r="H137" i="13" s="1"/>
  <c r="G138" i="13"/>
  <c r="G137" i="13" s="1"/>
  <c r="F138" i="13"/>
  <c r="F137" i="13" s="1"/>
  <c r="E138" i="13"/>
  <c r="E137" i="13" s="1"/>
  <c r="D138" i="13"/>
  <c r="D137" i="13" s="1"/>
  <c r="B132" i="13"/>
  <c r="B131" i="13"/>
  <c r="B130" i="13"/>
  <c r="B129" i="13"/>
  <c r="B128" i="13"/>
  <c r="B127" i="13"/>
  <c r="I126" i="13"/>
  <c r="I125" i="13" s="1"/>
  <c r="H126" i="13"/>
  <c r="H125" i="13" s="1"/>
  <c r="G126" i="13"/>
  <c r="G125" i="13" s="1"/>
  <c r="F126" i="13"/>
  <c r="F125" i="13" s="1"/>
  <c r="E126" i="13"/>
  <c r="E125" i="13" s="1"/>
  <c r="D126" i="13"/>
  <c r="D125" i="13" s="1"/>
  <c r="B120" i="13"/>
  <c r="B119" i="13"/>
  <c r="B118" i="13"/>
  <c r="B117" i="13"/>
  <c r="B116" i="13"/>
  <c r="B115" i="13"/>
  <c r="I114" i="13"/>
  <c r="I113" i="13" s="1"/>
  <c r="H114" i="13"/>
  <c r="H113" i="13" s="1"/>
  <c r="G114" i="13"/>
  <c r="G113" i="13" s="1"/>
  <c r="F114" i="13"/>
  <c r="F113" i="13" s="1"/>
  <c r="E114" i="13"/>
  <c r="E113" i="13" s="1"/>
  <c r="D114" i="13"/>
  <c r="D113" i="13" s="1"/>
  <c r="B108" i="13"/>
  <c r="B107" i="13"/>
  <c r="B106" i="13"/>
  <c r="B105" i="13"/>
  <c r="B104" i="13"/>
  <c r="B103" i="13"/>
  <c r="I102" i="13"/>
  <c r="I101" i="13" s="1"/>
  <c r="H102" i="13"/>
  <c r="H101" i="13" s="1"/>
  <c r="G102" i="13"/>
  <c r="G101" i="13" s="1"/>
  <c r="F102" i="13"/>
  <c r="F101" i="13" s="1"/>
  <c r="E102" i="13"/>
  <c r="E101" i="13" s="1"/>
  <c r="D102" i="13"/>
  <c r="D101" i="13" s="1"/>
  <c r="B96" i="13"/>
  <c r="B95" i="13"/>
  <c r="B94" i="13"/>
  <c r="B93" i="13"/>
  <c r="B92" i="13"/>
  <c r="B91" i="13"/>
  <c r="I90" i="13"/>
  <c r="I89" i="13" s="1"/>
  <c r="H90" i="13"/>
  <c r="H89" i="13" s="1"/>
  <c r="G90" i="13"/>
  <c r="G89" i="13" s="1"/>
  <c r="F90" i="13"/>
  <c r="F89" i="13" s="1"/>
  <c r="E90" i="13"/>
  <c r="E89" i="13" s="1"/>
  <c r="D90" i="13"/>
  <c r="D89" i="13" s="1"/>
  <c r="B84" i="13"/>
  <c r="B83" i="13"/>
  <c r="B82" i="13"/>
  <c r="B81" i="13"/>
  <c r="B80" i="13"/>
  <c r="B79" i="13"/>
  <c r="I78" i="13"/>
  <c r="I77" i="13" s="1"/>
  <c r="H78" i="13"/>
  <c r="H77" i="13" s="1"/>
  <c r="G78" i="13"/>
  <c r="G77" i="13" s="1"/>
  <c r="F78" i="13"/>
  <c r="F77" i="13" s="1"/>
  <c r="E78" i="13"/>
  <c r="E77" i="13" s="1"/>
  <c r="D78" i="13"/>
  <c r="D77" i="13" s="1"/>
  <c r="B72" i="13"/>
  <c r="B71" i="13"/>
  <c r="B70" i="13"/>
  <c r="B69" i="13"/>
  <c r="B68" i="13"/>
  <c r="B67" i="13"/>
  <c r="I66" i="13"/>
  <c r="I65" i="13" s="1"/>
  <c r="H66" i="13"/>
  <c r="H65" i="13" s="1"/>
  <c r="G66" i="13"/>
  <c r="G65" i="13" s="1"/>
  <c r="F66" i="13"/>
  <c r="F65" i="13" s="1"/>
  <c r="E66" i="13"/>
  <c r="E65" i="13" s="1"/>
  <c r="D66" i="13"/>
  <c r="D65" i="13" s="1"/>
  <c r="B60" i="13"/>
  <c r="B59" i="13"/>
  <c r="B58" i="13"/>
  <c r="B57" i="13"/>
  <c r="B56" i="13"/>
  <c r="B55" i="13"/>
  <c r="I54" i="13"/>
  <c r="I53" i="13" s="1"/>
  <c r="H54" i="13"/>
  <c r="H53" i="13" s="1"/>
  <c r="G54" i="13"/>
  <c r="G53" i="13" s="1"/>
  <c r="F54" i="13"/>
  <c r="F53" i="13" s="1"/>
  <c r="E54" i="13"/>
  <c r="E53" i="13" s="1"/>
  <c r="D54" i="13"/>
  <c r="D53" i="13" s="1"/>
  <c r="B49" i="13"/>
  <c r="B48" i="13"/>
  <c r="B47" i="13"/>
  <c r="B46" i="13"/>
  <c r="B45" i="13"/>
  <c r="B44" i="13"/>
  <c r="B43" i="13"/>
  <c r="I42" i="13"/>
  <c r="I41" i="13" s="1"/>
  <c r="H42" i="13"/>
  <c r="H41" i="13" s="1"/>
  <c r="G42" i="13"/>
  <c r="G41" i="13" s="1"/>
  <c r="F42" i="13"/>
  <c r="F41" i="13" s="1"/>
  <c r="E42" i="13"/>
  <c r="E41" i="13" s="1"/>
  <c r="D42" i="13"/>
  <c r="D41" i="13" s="1"/>
  <c r="B36" i="13"/>
  <c r="B35" i="13"/>
  <c r="B34" i="13"/>
  <c r="B33" i="13"/>
  <c r="B31" i="13"/>
  <c r="I30" i="13"/>
  <c r="I29" i="13" s="1"/>
  <c r="H30" i="13"/>
  <c r="H29" i="13" s="1"/>
  <c r="G30" i="13"/>
  <c r="G29" i="13" s="1"/>
  <c r="F30" i="13"/>
  <c r="F29" i="13" s="1"/>
  <c r="E30" i="13"/>
  <c r="E29" i="13" s="1"/>
  <c r="D30" i="13"/>
  <c r="D29" i="13" s="1"/>
  <c r="B24" i="13"/>
  <c r="B23" i="13"/>
  <c r="B22" i="13"/>
  <c r="B21" i="13"/>
  <c r="B19" i="13"/>
  <c r="I18" i="13"/>
  <c r="I17" i="13" s="1"/>
  <c r="H18" i="13"/>
  <c r="H17" i="13" s="1"/>
  <c r="G18" i="13"/>
  <c r="G17" i="13" s="1"/>
  <c r="F18" i="13"/>
  <c r="F17" i="13" s="1"/>
  <c r="E18" i="13"/>
  <c r="E17" i="13" s="1"/>
  <c r="D18" i="13"/>
  <c r="D17" i="13" s="1"/>
  <c r="B12" i="13"/>
  <c r="B11" i="13"/>
  <c r="B10" i="13"/>
  <c r="B9" i="13"/>
  <c r="B7" i="13"/>
  <c r="I6" i="13"/>
  <c r="I5" i="13" s="1"/>
  <c r="H6" i="13"/>
  <c r="H5" i="13" s="1"/>
  <c r="G6" i="13"/>
  <c r="G5" i="13" s="1"/>
  <c r="F6" i="13"/>
  <c r="F5" i="13" s="1"/>
  <c r="E6" i="13"/>
  <c r="E5" i="13" s="1"/>
  <c r="D6" i="13"/>
  <c r="D5" i="13" s="1"/>
  <c r="A1" i="13"/>
  <c r="C14" i="8"/>
  <c r="B14" i="8"/>
  <c r="B13" i="8"/>
  <c r="C19" i="8"/>
  <c r="C18" i="8"/>
  <c r="C17" i="8"/>
  <c r="C16" i="8"/>
  <c r="C15" i="8"/>
  <c r="C13" i="8"/>
  <c r="C12" i="8"/>
  <c r="C11" i="8"/>
  <c r="C9" i="8"/>
  <c r="B19" i="8"/>
  <c r="B18" i="8"/>
  <c r="B17" i="8"/>
  <c r="B16" i="8"/>
  <c r="B15" i="8"/>
  <c r="B12" i="8"/>
  <c r="B11" i="8"/>
  <c r="B21" i="8" l="1"/>
  <c r="B20" i="8"/>
  <c r="B22" i="8"/>
  <c r="B41" i="13"/>
  <c r="B89" i="13"/>
  <c r="B137" i="13"/>
  <c r="B17" i="13"/>
  <c r="B65" i="13"/>
  <c r="B113" i="13"/>
  <c r="B5" i="13"/>
  <c r="B29" i="13"/>
  <c r="B53" i="13"/>
  <c r="B77" i="13"/>
  <c r="B101" i="13"/>
  <c r="B125" i="13"/>
  <c r="D14" i="8"/>
  <c r="H139" i="2" l="1"/>
  <c r="H138" i="2" s="1"/>
  <c r="H127" i="2"/>
  <c r="H126" i="2" s="1"/>
  <c r="H115" i="2"/>
  <c r="H114" i="2" s="1"/>
  <c r="H103" i="2"/>
  <c r="H102" i="2" s="1"/>
  <c r="H91" i="2"/>
  <c r="H90" i="2" s="1"/>
  <c r="H79" i="2"/>
  <c r="H78" i="2" s="1"/>
  <c r="H67" i="2"/>
  <c r="H66" i="2" s="1"/>
  <c r="H55" i="2"/>
  <c r="H54" i="2" s="1"/>
  <c r="H43" i="2"/>
  <c r="H42" i="2" s="1"/>
  <c r="H31" i="2"/>
  <c r="H30" i="2" s="1"/>
  <c r="H19" i="2"/>
  <c r="H18" i="2" s="1"/>
  <c r="H7" i="2"/>
  <c r="H6" i="2" s="1"/>
  <c r="I139" i="2"/>
  <c r="I138" i="2" s="1"/>
  <c r="G139" i="2"/>
  <c r="G138" i="2" s="1"/>
  <c r="F139" i="2"/>
  <c r="F138" i="2" s="1"/>
  <c r="E139" i="2"/>
  <c r="E138" i="2" s="1"/>
  <c r="D139" i="2"/>
  <c r="D138" i="2" s="1"/>
  <c r="I127" i="2"/>
  <c r="I126" i="2" s="1"/>
  <c r="G127" i="2"/>
  <c r="G126" i="2" s="1"/>
  <c r="F127" i="2"/>
  <c r="F126" i="2" s="1"/>
  <c r="E127" i="2"/>
  <c r="E126" i="2" s="1"/>
  <c r="D127" i="2"/>
  <c r="D126" i="2" s="1"/>
  <c r="I115" i="2"/>
  <c r="I114" i="2" s="1"/>
  <c r="G115" i="2"/>
  <c r="G114" i="2" s="1"/>
  <c r="F115" i="2"/>
  <c r="F114" i="2" s="1"/>
  <c r="E115" i="2"/>
  <c r="E114" i="2" s="1"/>
  <c r="D115" i="2"/>
  <c r="D114" i="2" s="1"/>
  <c r="I103" i="2"/>
  <c r="I102" i="2" s="1"/>
  <c r="G103" i="2"/>
  <c r="G102" i="2" s="1"/>
  <c r="F103" i="2"/>
  <c r="F102" i="2" s="1"/>
  <c r="E103" i="2"/>
  <c r="E102" i="2" s="1"/>
  <c r="D103" i="2"/>
  <c r="D102" i="2" s="1"/>
  <c r="I91" i="2"/>
  <c r="I90" i="2" s="1"/>
  <c r="G91" i="2"/>
  <c r="G90" i="2" s="1"/>
  <c r="F91" i="2"/>
  <c r="F90" i="2" s="1"/>
  <c r="E91" i="2"/>
  <c r="E90" i="2" s="1"/>
  <c r="D91" i="2"/>
  <c r="D90" i="2" s="1"/>
  <c r="I79" i="2"/>
  <c r="I78" i="2" s="1"/>
  <c r="G79" i="2"/>
  <c r="G78" i="2" s="1"/>
  <c r="F79" i="2"/>
  <c r="F78" i="2" s="1"/>
  <c r="E79" i="2"/>
  <c r="E78" i="2" s="1"/>
  <c r="D79" i="2"/>
  <c r="D78" i="2" s="1"/>
  <c r="I67" i="2"/>
  <c r="I66" i="2" s="1"/>
  <c r="G67" i="2"/>
  <c r="G66" i="2" s="1"/>
  <c r="F67" i="2"/>
  <c r="F66" i="2" s="1"/>
  <c r="E67" i="2"/>
  <c r="E66" i="2" s="1"/>
  <c r="D67" i="2"/>
  <c r="D66" i="2" s="1"/>
  <c r="I55" i="2"/>
  <c r="I54" i="2" s="1"/>
  <c r="G55" i="2"/>
  <c r="G54" i="2" s="1"/>
  <c r="F55" i="2"/>
  <c r="F54" i="2" s="1"/>
  <c r="E55" i="2"/>
  <c r="E54" i="2" s="1"/>
  <c r="D55" i="2"/>
  <c r="D54" i="2" s="1"/>
  <c r="I43" i="2"/>
  <c r="I42" i="2" s="1"/>
  <c r="G43" i="2"/>
  <c r="G42" i="2" s="1"/>
  <c r="F43" i="2"/>
  <c r="F42" i="2" s="1"/>
  <c r="E43" i="2"/>
  <c r="E42" i="2" s="1"/>
  <c r="D43" i="2"/>
  <c r="D42" i="2" s="1"/>
  <c r="I31" i="2"/>
  <c r="I30" i="2" s="1"/>
  <c r="G31" i="2"/>
  <c r="G30" i="2" s="1"/>
  <c r="F31" i="2"/>
  <c r="F30" i="2" s="1"/>
  <c r="E31" i="2"/>
  <c r="E30" i="2" s="1"/>
  <c r="D31" i="2"/>
  <c r="D30" i="2" s="1"/>
  <c r="I19" i="2"/>
  <c r="I18" i="2" s="1"/>
  <c r="G19" i="2"/>
  <c r="G18" i="2" s="1"/>
  <c r="F19" i="2"/>
  <c r="F18" i="2" s="1"/>
  <c r="E19" i="2"/>
  <c r="E18" i="2" s="1"/>
  <c r="D19" i="2"/>
  <c r="D18" i="2" s="1"/>
  <c r="I7" i="2"/>
  <c r="I6" i="2" s="1"/>
  <c r="G7" i="2"/>
  <c r="F7" i="2"/>
  <c r="E7" i="2"/>
  <c r="E6" i="2" s="1"/>
  <c r="D7" i="2"/>
  <c r="B144" i="2"/>
  <c r="B143" i="2"/>
  <c r="B142" i="2"/>
  <c r="B132" i="2"/>
  <c r="B131" i="2"/>
  <c r="B130" i="2"/>
  <c r="B120" i="2"/>
  <c r="B119" i="2"/>
  <c r="B118" i="2"/>
  <c r="B108" i="2"/>
  <c r="B107" i="2"/>
  <c r="B106" i="2"/>
  <c r="B96" i="2"/>
  <c r="B95" i="2"/>
  <c r="B94" i="2"/>
  <c r="B84" i="2"/>
  <c r="B83" i="2"/>
  <c r="B82" i="2"/>
  <c r="B72" i="2"/>
  <c r="B71" i="2"/>
  <c r="B70" i="2"/>
  <c r="B61" i="2"/>
  <c r="B60" i="2"/>
  <c r="B59" i="2"/>
  <c r="B58" i="2"/>
  <c r="B48" i="2"/>
  <c r="B47" i="2"/>
  <c r="B46" i="2"/>
  <c r="B36" i="2"/>
  <c r="B35" i="2"/>
  <c r="B24" i="2"/>
  <c r="B23" i="2"/>
  <c r="B22" i="2"/>
  <c r="B11" i="2"/>
  <c r="B10" i="2"/>
  <c r="B66" i="2" l="1"/>
  <c r="B138" i="2"/>
  <c r="B126" i="2"/>
  <c r="B114" i="2"/>
  <c r="B102" i="2"/>
  <c r="B90" i="2"/>
  <c r="B78" i="2"/>
  <c r="B54" i="2"/>
  <c r="B42" i="2"/>
  <c r="B18" i="2"/>
  <c r="B30" i="2"/>
  <c r="D18" i="5"/>
  <c r="Q18" i="5" s="1"/>
  <c r="D17" i="5"/>
  <c r="Q17" i="5" s="1"/>
  <c r="D16" i="5"/>
  <c r="Q16" i="5" s="1"/>
  <c r="D15" i="5"/>
  <c r="Q15" i="5" s="1"/>
  <c r="D14" i="5"/>
  <c r="Q14" i="5" s="1"/>
  <c r="D13" i="5"/>
  <c r="Q13" i="5" s="1"/>
  <c r="B137" i="2"/>
  <c r="B113" i="2"/>
  <c r="B89" i="2"/>
  <c r="B77" i="2"/>
  <c r="B88" i="13" l="1"/>
  <c r="B90" i="13"/>
  <c r="B136" i="13"/>
  <c r="B138" i="13"/>
  <c r="B100" i="13"/>
  <c r="B102" i="13"/>
  <c r="B112" i="13"/>
  <c r="B114" i="13"/>
  <c r="B76" i="13"/>
  <c r="B78" i="13"/>
  <c r="B124" i="13"/>
  <c r="B126" i="13"/>
  <c r="B127" i="2"/>
  <c r="B125" i="2"/>
  <c r="B128" i="2"/>
  <c r="B103" i="2"/>
  <c r="B101" i="2"/>
  <c r="B140" i="2"/>
  <c r="B139" i="2"/>
  <c r="B116" i="2"/>
  <c r="B115" i="2"/>
  <c r="B104" i="2"/>
  <c r="B92" i="2"/>
  <c r="B91" i="2"/>
  <c r="B80" i="2"/>
  <c r="B79" i="2"/>
  <c r="C3" i="8"/>
  <c r="C2" i="8"/>
  <c r="B3" i="8"/>
  <c r="B2" i="8"/>
  <c r="O6" i="1"/>
  <c r="O6" i="5"/>
  <c r="M6" i="1"/>
  <c r="M6" i="5"/>
  <c r="K6" i="1"/>
  <c r="K6" i="5"/>
  <c r="I6" i="1"/>
  <c r="I6" i="5"/>
  <c r="G6" i="1"/>
  <c r="G6" i="5"/>
  <c r="D16" i="8" l="1"/>
  <c r="D18" i="8"/>
  <c r="D15" i="8"/>
  <c r="D17" i="8"/>
  <c r="D19" i="8"/>
  <c r="D7" i="5"/>
  <c r="Q7" i="5" s="1"/>
  <c r="B6" i="13" l="1"/>
  <c r="D12" i="5"/>
  <c r="Q12" i="5" s="1"/>
  <c r="D11" i="5"/>
  <c r="Q11" i="5" s="1"/>
  <c r="D10" i="5"/>
  <c r="Q10" i="5" s="1"/>
  <c r="D9" i="5"/>
  <c r="Q9" i="5" s="1"/>
  <c r="D8" i="5"/>
  <c r="Q8" i="5" s="1"/>
  <c r="C21" i="8" s="1"/>
  <c r="C22" i="8" l="1"/>
  <c r="C20" i="8"/>
  <c r="B64" i="13"/>
  <c r="B66" i="13"/>
  <c r="B52" i="13"/>
  <c r="B54" i="13"/>
  <c r="B40" i="13"/>
  <c r="B42" i="13"/>
  <c r="B28" i="13"/>
  <c r="B30" i="13"/>
  <c r="B16" i="13"/>
  <c r="B18" i="13"/>
  <c r="C5" i="8"/>
  <c r="B5" i="8"/>
  <c r="B6" i="8" s="1"/>
  <c r="B4" i="13"/>
  <c r="B8" i="13"/>
  <c r="B67" i="2"/>
  <c r="B65" i="2"/>
  <c r="B55" i="2"/>
  <c r="B53" i="2"/>
  <c r="B43" i="2"/>
  <c r="B41" i="2"/>
  <c r="B31" i="2"/>
  <c r="B29" i="2"/>
  <c r="B19" i="2"/>
  <c r="B17" i="2"/>
  <c r="B7" i="2"/>
  <c r="B68" i="2"/>
  <c r="B20" i="2"/>
  <c r="B32" i="2"/>
  <c r="B44" i="2"/>
  <c r="B56" i="2"/>
  <c r="B32" i="13"/>
  <c r="B20" i="13"/>
  <c r="F6" i="2"/>
  <c r="D6" i="2"/>
  <c r="G6" i="2"/>
  <c r="D11" i="8"/>
  <c r="E11" i="8" s="1"/>
  <c r="E9" i="8"/>
  <c r="D13" i="8"/>
  <c r="E13" i="8" s="1"/>
  <c r="D10" i="8"/>
  <c r="E10" i="8" s="1"/>
  <c r="D12" i="8"/>
  <c r="E12" i="8" s="1"/>
  <c r="C4" i="8" l="1"/>
  <c r="B8" i="2"/>
  <c r="B4" i="8"/>
  <c r="B5" i="2"/>
  <c r="B6" i="2"/>
</calcChain>
</file>

<file path=xl/sharedStrings.xml><?xml version="1.0" encoding="utf-8"?>
<sst xmlns="http://schemas.openxmlformats.org/spreadsheetml/2006/main" count="502" uniqueCount="133">
  <si>
    <t>IPSC POPPER</t>
  </si>
  <si>
    <t>IPSC MINI POPPER</t>
  </si>
  <si>
    <t>PLATES</t>
  </si>
  <si>
    <t>MODALIDADE</t>
  </si>
  <si>
    <t>DATA</t>
  </si>
  <si>
    <t>RM</t>
  </si>
  <si>
    <t>Course of Fire Type</t>
  </si>
  <si>
    <t>Targets</t>
  </si>
  <si>
    <t>Minimum number of rounds</t>
  </si>
  <si>
    <t>Disparos Mínimos</t>
  </si>
  <si>
    <t>Maximum possible points</t>
  </si>
  <si>
    <t>Weapon ready condition</t>
  </si>
  <si>
    <t>Start position</t>
  </si>
  <si>
    <t>Time Starts</t>
  </si>
  <si>
    <t>Procedure</t>
  </si>
  <si>
    <t>IPSC TARGET</t>
  </si>
  <si>
    <t>Munição</t>
  </si>
  <si>
    <t>IPSC Mini Target</t>
  </si>
  <si>
    <t>IPSC Popper</t>
  </si>
  <si>
    <t>IPSC Mini Popper</t>
  </si>
  <si>
    <t>Condição da arma</t>
  </si>
  <si>
    <t>Start Position</t>
  </si>
  <si>
    <t>RIFLE/MINI RIFLE</t>
  </si>
  <si>
    <t>Pontos Máximos</t>
  </si>
  <si>
    <t>IPSC TARGET MINI</t>
  </si>
  <si>
    <t>Pistas Longas</t>
  </si>
  <si>
    <t>Pistas Médias</t>
  </si>
  <si>
    <t>Pistas Curtas</t>
  </si>
  <si>
    <t>Stage</t>
  </si>
  <si>
    <t>Box</t>
  </si>
  <si>
    <t>Pontos Max</t>
  </si>
  <si>
    <t>Tiros</t>
  </si>
  <si>
    <t>IPSC Target</t>
  </si>
  <si>
    <t>Plates</t>
  </si>
  <si>
    <t>Tamanho Pista</t>
  </si>
  <si>
    <t>Time Start</t>
  </si>
  <si>
    <t>Etapa</t>
  </si>
  <si>
    <t>Data</t>
  </si>
  <si>
    <t>Prova</t>
  </si>
  <si>
    <t>RIFLE/ MINI RIFLE</t>
  </si>
  <si>
    <t>TOTAL MATERIAL</t>
  </si>
  <si>
    <t>NO-SHOOT - IPSC TARGET</t>
  </si>
  <si>
    <t>NO-SHOOT - IPSC TARGET MINI</t>
  </si>
  <si>
    <t>NO-SHOOT - IPSC POPPER</t>
  </si>
  <si>
    <t>NO-SHOOT - IPSC MINI POPPER</t>
  </si>
  <si>
    <t>NO-SHOOT - PLATES</t>
  </si>
  <si>
    <t>Ammunition type</t>
  </si>
  <si>
    <t>Match Director</t>
  </si>
  <si>
    <t>Clay</t>
  </si>
  <si>
    <t>CLAY</t>
  </si>
  <si>
    <t>Audible signal</t>
  </si>
  <si>
    <t>8.1.2 - Option 2</t>
  </si>
  <si>
    <t>8.1.1 - Option 1</t>
  </si>
  <si>
    <t>CAMPEONATO BRASILEIRO ETAPA</t>
  </si>
  <si>
    <t>8.1.3 - Option 3</t>
  </si>
  <si>
    <t>Obs</t>
  </si>
  <si>
    <t>Mini RIFLE STAGE</t>
  </si>
  <si>
    <t>RO</t>
  </si>
  <si>
    <t>Vagner Brum</t>
  </si>
  <si>
    <t>Luciana Brum</t>
  </si>
  <si>
    <t>Paulo Miranda</t>
  </si>
  <si>
    <t>Célio</t>
  </si>
  <si>
    <t>D. Salvio</t>
  </si>
  <si>
    <t>Milton Miyatake</t>
  </si>
  <si>
    <t>Diego</t>
  </si>
  <si>
    <t>Natan Brum</t>
  </si>
  <si>
    <t>Gislan</t>
  </si>
  <si>
    <t>MG</t>
  </si>
  <si>
    <t>Marcio Eller</t>
  </si>
  <si>
    <t>Luiz Backes</t>
  </si>
  <si>
    <t>Daniel</t>
  </si>
  <si>
    <t>SC</t>
  </si>
  <si>
    <t>MT</t>
  </si>
  <si>
    <t>Cheila</t>
  </si>
  <si>
    <t>Kazuo</t>
  </si>
  <si>
    <t>DF</t>
  </si>
  <si>
    <t>Bruno</t>
  </si>
  <si>
    <t>Marcio Custodio</t>
  </si>
  <si>
    <t>Belino</t>
  </si>
  <si>
    <t>SP</t>
  </si>
  <si>
    <t>UF</t>
  </si>
  <si>
    <t>NOME</t>
  </si>
  <si>
    <t>S.O.</t>
  </si>
  <si>
    <t>CRONO</t>
  </si>
  <si>
    <t>RO/MD</t>
  </si>
  <si>
    <t>AREA</t>
  </si>
  <si>
    <t>A</t>
  </si>
  <si>
    <t>B</t>
  </si>
  <si>
    <t>Audible signal/
Sinal Audível</t>
  </si>
  <si>
    <t>Standing erect, relaxed, heels touching the start line. Shotgun at the table mark.
Em pé, ereto e relaxado, calcanhares tocando a start line. Shotgun na marca sobre a mesa.</t>
  </si>
  <si>
    <t>Standing erect, heels touching the start line, shotgun held with both hands, stock touching the hip level, trigger guard downwards, muzzle pointing downrange, fingers outside trigger guard.
Em pé, ereto e relaxado, calcanhares tocando a start line, Shotgun segura com ambas as mãos, tocando na altura do quadril, em direção ao parabalas, gatilho para baixo, dedos fora do guarda mato, Face para Downrange, conforme demonstrado.</t>
  </si>
  <si>
    <t>At the start signal engage targets from whithin the designated area. 
Ao sinal de partida engajar os alvos na área designada.</t>
  </si>
  <si>
    <t>At the start signal engage targets from whithin the designated area. PP2 liberates the balance. PP1 to PP3 should be thrown under the obstacle. PL1 to PL4 should be thrown over the obstacle, remains visible.
Ao sinal de partida engajar alvos na área designada. PP2 libera o balanço. PP1 a PP3 deve ser engajados por baixo do obstáculo. PL1 a PL4 deve ser engajados sobre o obstáculo e permanecem visíveis.</t>
  </si>
  <si>
    <t>At the start signal engage targets from whithin the designated area. 
Ao sinal de partida engajar os alvos na área designada</t>
  </si>
  <si>
    <t>At the start signal engage targets from whithin the designated area. T3 is activated by opening the door, which must be done by hand and the A4 Target  (T3) will remain visible at rest.
Ao sinal de partida engajar os alvos na área designada. T3 é ativado com a abertura da porta, o que deve ser feito com a mão. O  alvo A4 (T3) permanecerá visível em repouso.</t>
  </si>
  <si>
    <t>Sitting, both feet in support, weak hand holding the rope touching the breast, strong hand holding the Rifle on the thigh leg on the same side toward the downrange, trigger guard downwards, muzzle pointing downrange, fingers outside trigger guard as demonstrated.
Sentado, pés nos estribos (suporte), mão fraca segurando a corda e encontando no peito. Mão forte segurando o Rifle em direção ao downrange, sobre a perna do mesmo lado, gatilho para baixo, dedos fora do guarda mato, Face para Downrange, conforme demonstrado.</t>
  </si>
  <si>
    <t xml:space="preserve">At the start signal engage targets to remain seated with both feet on the  holder. 
Ao sinal de partida engajar alvos sentado com os dois pés no suporte. </t>
  </si>
  <si>
    <t>Standing erect, relaxed,  heels touching the start line, Rifle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t>
  </si>
  <si>
    <t>Standing, erect, relaxed, heels touching the Start Line. Rifle safe the center of gravity by the strong hand, trigger guard downwards, muzzle pointing downrange,  as demonstrated.
Em pé, ereto e relaxado, calcanhares tocando a start line. Rifle seguro pela mão forte  no centro de gravidade da arma em direção ao parabalas,  braços estendidos. Gatilho para baixo, dedos fora do guarda mato. Face para Downrange, conforme demonstrado</t>
  </si>
  <si>
    <t>Standing erect, relaxed, heels touching the start line, Rifle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t>
  </si>
  <si>
    <t>Standing erect, relaxed, toes touching the start line, shotgun held with both hands, stock touching the hip level,  trigger guard downwards, muzzle pointing downrange, fingers outside trigger guard.
Em pé, ereto e relaxado, calcanhares tocando uma das start line, Rifle seguro com ambas as mãos, tocando na altura do quadril, em direção ao parabalas, gatilho para baixo, dedos fora do guarda mato, Face para Downrange, conforme demonstrado.</t>
  </si>
  <si>
    <t>Standing erect, relaxed, heels touching the start line, shotgun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t>
  </si>
  <si>
    <t>Standing facing uprange, toes toching start line. hands clasped behind head. Rifle on  one of the tables on the mark.
Em pé, de costas para downrange, pés tocando a start line, mão cruzadas atrás da cabeça. Rifle na marca em uma das mesas, conforme demonstrado.</t>
  </si>
  <si>
    <t>Standing, relaxed, hands along the body, heels touching the starting line. Rifle to "A" or "B" mark. as demonstrated.
Em pé, ereto, relaxado, braços estendidos ao longo do corpo, calcanhares tocando a start line. Rifle na marca "A" ou "B", conforme demonstrado.</t>
  </si>
  <si>
    <t xml:space="preserve"> Lay on bed as demonstrated. Rifle on the table on the mark.
Deitado na cama. Mãos tocando a marca atrás da cabeça. Rifle na mesa sobre a marca, conforme demonstrado.</t>
  </si>
  <si>
    <t xml:space="preserve">After the signal shoot at the targets as required to score within the defined shooting area. PP2 liberates the balance. T8  -T9 remais visible.
Ao sinal de partida engajar os alvos na área designada. PP2 libera o balanço. T8 e T9 permanecem visíveis.
</t>
  </si>
  <si>
    <t>Rule 10.2.1.1  Aplys if foot out of the holder.
Regra 10.2.1.1 será aplicada se algum pé sair do Estribo (suporte)
Para Puma Standard somente 1 disparo por alvo</t>
  </si>
  <si>
    <t>Para Puma Standard somente 1 disparo por alvo</t>
  </si>
  <si>
    <t>Munição Birdshot</t>
  </si>
  <si>
    <t>Munição Buckshot</t>
  </si>
  <si>
    <t>Munição Slug</t>
  </si>
  <si>
    <t>IV Etapa Paulista Handgun</t>
  </si>
  <si>
    <t>Roberto Saldanha</t>
  </si>
  <si>
    <t>Jose Carlos Belino</t>
  </si>
  <si>
    <t>Firearm ready condition</t>
  </si>
  <si>
    <t xml:space="preserve"> </t>
  </si>
  <si>
    <t>Audible</t>
  </si>
  <si>
    <t>Loaded and Holstered</t>
  </si>
  <si>
    <t>Standing, facing downrange inside the area</t>
  </si>
  <si>
    <t>Standing, facing downrange, heels touching the start line</t>
  </si>
  <si>
    <t>Loaded, flat on the table marks</t>
  </si>
  <si>
    <t>At the start signal, engage targets from within the designated area</t>
  </si>
  <si>
    <t>At the start signal, engage targets from within the designated area, Weak hand only</t>
  </si>
  <si>
    <t>24.02.2015</t>
  </si>
  <si>
    <t>I Etapa Paulista Handgun Paulista</t>
  </si>
  <si>
    <t>Number of rounds to be scored</t>
  </si>
  <si>
    <t>At the start signal, engage targets from within the designated area, IP1 activates T1 which remains visible at rest</t>
  </si>
  <si>
    <t>Standing, hands touching marks as demonstraded</t>
  </si>
  <si>
    <t>At the start signal, engage targets from within the designated area.IP1 activates IT1 and IP2 activates IT2.  All moving targets are disapearing targets.</t>
  </si>
  <si>
    <t>At the start signal, engage targets from within the designated area. IP1 activates IT2 and IP2 activates IT1.  All moving targets are disapearing targets.</t>
  </si>
  <si>
    <t>At the start signal, engage targets from within the designated area. .IP1 activates IT1 and IP2 activates IT2.  All moving targets remains visible at rest.</t>
  </si>
  <si>
    <t>At the start signal, engage targets from within the designated area.  IP1 activates IT2 and IP2 activates IT1.  All moving targets are disapearing targets.</t>
  </si>
  <si>
    <t>Handgun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</si>
</sst>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b/>
      <sz val="14"/>
      <color theme="1"/>
      <name val="Calibri"/>
      <family val="2"/>
      <scheme val="minor"/>
    </font>
    <font>
      <b/>
      <sz val="12"/>
      <color theme="3"/>
      <name val="Calibri"/>
      <family val="2"/>
      <scheme val="minor"/>
    </font>
    <font>
      <b/>
      <sz val="14"/>
      <name val="Calibri"/>
      <family val="2"/>
      <scheme val="minor"/>
    </font>
    <font>
      <sz val="14"/>
      <color theme="1"/>
      <name val="Calibri"/>
      <family val="2"/>
      <scheme val="minor"/>
    </font>
    <font>
      <sz val="24"/>
      <color theme="1"/>
      <name val="Calibri"/>
      <family val="2"/>
      <scheme val="minor"/>
    </font>
    <font>
      <b/>
      <sz val="14"/>
      <color theme="3"/>
      <name val="Calibri"/>
      <family val="2"/>
      <scheme val="minor"/>
    </font>
    <font>
      <sz val="22"/>
      <color theme="1"/>
      <name val="Calibri"/>
      <family val="2"/>
      <scheme val="minor"/>
    </font>
    <font>
      <b/>
      <sz val="14"/>
      <color rgb="FFFFFF00"/>
      <name val="Calibri"/>
      <family val="2"/>
      <scheme val="minor"/>
    </font>
    <font>
      <sz val="22"/>
      <name val="Calibri"/>
      <family val="2"/>
      <scheme val="minor"/>
    </font>
    <font>
      <sz val="16"/>
      <color theme="1"/>
      <name val="Calibri"/>
      <family val="2"/>
      <scheme val="minor"/>
    </font>
    <font>
      <sz val="16"/>
      <color theme="1"/>
      <name val="Arial"/>
      <family val="2"/>
    </font>
    <font>
      <b/>
      <sz val="16"/>
      <color theme="3"/>
      <name val="Calibri"/>
      <family val="2"/>
      <scheme val="minor"/>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horizontal="left"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4" fillId="3" borderId="2" xfId="0" applyFont="1" applyFill="1" applyBorder="1" applyAlignment="1">
      <alignment horizontal="center" vertical="center" wrapText="1"/>
    </xf>
    <xf numFmtId="0" fontId="5" fillId="0" borderId="0" xfId="0" applyFont="1" applyAlignment="1">
      <alignment horizontal="left" vertical="center" wrapText="1"/>
    </xf>
    <xf numFmtId="0" fontId="7"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0" borderId="2" xfId="0" quotePrefix="1" applyFont="1" applyBorder="1" applyAlignment="1">
      <alignment horizontal="center" vertical="center"/>
    </xf>
    <xf numFmtId="14" fontId="7" fillId="0" borderId="2"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2" fillId="0" borderId="0" xfId="0" quotePrefix="1" applyFont="1" applyBorder="1" applyAlignment="1">
      <alignment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quotePrefix="1" applyFont="1" applyBorder="1" applyAlignment="1">
      <alignment horizontal="left" vertical="center" wrapText="1"/>
    </xf>
    <xf numFmtId="0" fontId="1" fillId="0" borderId="2" xfId="0" applyFont="1" applyBorder="1" applyAlignment="1">
      <alignment vertical="center" wrapText="1"/>
    </xf>
    <xf numFmtId="0" fontId="5" fillId="0" borderId="6" xfId="0" applyFont="1" applyBorder="1" applyAlignment="1">
      <alignment vertical="center" wrapText="1"/>
    </xf>
    <xf numFmtId="0" fontId="9" fillId="5" borderId="2"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4" borderId="2" xfId="0" applyFont="1" applyFill="1" applyBorder="1" applyAlignment="1">
      <alignment horizontal="center" vertical="center"/>
    </xf>
    <xf numFmtId="0" fontId="2" fillId="4" borderId="2" xfId="0" quotePrefix="1" applyFont="1" applyFill="1" applyBorder="1" applyAlignment="1">
      <alignment horizontal="center" vertical="center"/>
    </xf>
    <xf numFmtId="0" fontId="5" fillId="0" borderId="0" xfId="0" quotePrefix="1" applyFont="1" applyBorder="1" applyAlignment="1">
      <alignment vertical="center"/>
    </xf>
    <xf numFmtId="0" fontId="10" fillId="3"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quotePrefix="1" applyFont="1" applyBorder="1" applyAlignment="1">
      <alignment horizontal="center" vertical="center" wrapText="1"/>
    </xf>
    <xf numFmtId="0" fontId="5" fillId="0" borderId="0" xfId="0" applyFont="1" applyBorder="1" applyAlignment="1">
      <alignment horizontal="center" vertical="center"/>
    </xf>
    <xf numFmtId="0" fontId="5" fillId="4" borderId="0" xfId="0" applyFont="1" applyFill="1" applyBorder="1" applyAlignment="1">
      <alignment horizontal="right" vertical="center" wrapText="1"/>
    </xf>
    <xf numFmtId="0" fontId="5" fillId="4" borderId="0" xfId="0" quotePrefix="1" applyFont="1" applyFill="1" applyBorder="1" applyAlignment="1">
      <alignment vertical="center" wrapText="1"/>
    </xf>
    <xf numFmtId="0" fontId="11"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quotePrefix="1" applyFont="1" applyBorder="1" applyAlignment="1">
      <alignment horizontal="center" vertical="center" wrapText="1"/>
    </xf>
    <xf numFmtId="0" fontId="5" fillId="0" borderId="0" xfId="0" applyFont="1" applyBorder="1" applyAlignment="1">
      <alignment horizontal="center" vertical="center"/>
    </xf>
    <xf numFmtId="0" fontId="2" fillId="4"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quotePrefix="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quotePrefix="1" applyFont="1" applyBorder="1" applyAlignment="1">
      <alignment horizontal="center" vertical="center" wrapText="1"/>
    </xf>
    <xf numFmtId="0" fontId="0" fillId="3" borderId="0" xfId="0" applyFill="1" applyAlignment="1">
      <alignment horizontal="left" vertical="center"/>
    </xf>
    <xf numFmtId="0" fontId="7" fillId="0" borderId="4" xfId="0" quotePrefix="1" applyFont="1" applyBorder="1" applyAlignment="1">
      <alignment horizontal="center" vertical="center"/>
    </xf>
    <xf numFmtId="0" fontId="7" fillId="2" borderId="2" xfId="0" applyFont="1" applyFill="1" applyBorder="1" applyAlignment="1">
      <alignment horizontal="right" vertical="center"/>
    </xf>
    <xf numFmtId="0" fontId="5" fillId="0" borderId="0" xfId="0" applyFont="1" applyBorder="1" applyAlignment="1">
      <alignment horizontal="center" vertical="center" wrapText="1"/>
    </xf>
    <xf numFmtId="0" fontId="14" fillId="0" borderId="2" xfId="0" quotePrefix="1" applyFont="1" applyBorder="1" applyAlignment="1">
      <alignment horizontal="left" vertical="center" wrapText="1"/>
    </xf>
    <xf numFmtId="0" fontId="14" fillId="0" borderId="2" xfId="0" applyFont="1" applyBorder="1" applyAlignment="1">
      <alignment horizontal="left" vertical="center" wrapText="1"/>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9" fillId="5" borderId="9" xfId="0" applyFont="1" applyFill="1" applyBorder="1" applyAlignment="1">
      <alignment horizontal="left" vertical="center"/>
    </xf>
    <xf numFmtId="14" fontId="9" fillId="5" borderId="7" xfId="0" applyNumberFormat="1" applyFont="1" applyFill="1" applyBorder="1" applyAlignment="1">
      <alignment horizontal="left" vertical="center"/>
    </xf>
    <xf numFmtId="14" fontId="9" fillId="5" borderId="8" xfId="0" applyNumberFormat="1" applyFont="1" applyFill="1" applyBorder="1" applyAlignment="1">
      <alignment horizontal="left" vertical="center"/>
    </xf>
    <xf numFmtId="14" fontId="9" fillId="5" borderId="9" xfId="0" applyNumberFormat="1" applyFont="1" applyFill="1" applyBorder="1" applyAlignment="1">
      <alignment horizontal="left" vertical="center"/>
    </xf>
    <xf numFmtId="0" fontId="5" fillId="0" borderId="0" xfId="0" quotePrefix="1" applyFont="1" applyBorder="1" applyAlignment="1">
      <alignment horizontal="center" vertical="center" wrapText="1"/>
    </xf>
    <xf numFmtId="0" fontId="5" fillId="0" borderId="0" xfId="0" applyFont="1" applyBorder="1" applyAlignment="1">
      <alignment horizontal="center" vertical="center" wrapText="1"/>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9" fillId="5" borderId="2" xfId="0" applyFont="1" applyFill="1" applyBorder="1" applyAlignment="1">
      <alignment horizontal="left" vertical="center"/>
    </xf>
    <xf numFmtId="14" fontId="9" fillId="5" borderId="2" xfId="0" applyNumberFormat="1" applyFont="1" applyFill="1" applyBorder="1" applyAlignment="1">
      <alignment horizontal="left" vertical="center"/>
    </xf>
    <xf numFmtId="0" fontId="5" fillId="0" borderId="0" xfId="0" applyFont="1" applyBorder="1" applyAlignment="1">
      <alignment horizontal="center" vertical="center"/>
    </xf>
    <xf numFmtId="0" fontId="6" fillId="6" borderId="1"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quotePrefix="1" applyFont="1" applyBorder="1" applyAlignment="1">
      <alignment horizontal="center" vertical="center"/>
    </xf>
    <xf numFmtId="0" fontId="7" fillId="0" borderId="5" xfId="0" quotePrefix="1" applyFont="1" applyBorder="1" applyAlignment="1">
      <alignment horizontal="center" vertical="center"/>
    </xf>
    <xf numFmtId="0" fontId="7" fillId="0" borderId="4" xfId="0" quotePrefix="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zoomScale="50" zoomScaleNormal="50" workbookViewId="0">
      <pane xSplit="1" ySplit="6" topLeftCell="B7" activePane="bottomRight" state="frozen"/>
      <selection pane="topRight" activeCell="B1" sqref="B1"/>
      <selection pane="bottomLeft" activeCell="A7" sqref="A7"/>
      <selection pane="bottomRight" activeCell="L8" sqref="L8"/>
    </sheetView>
  </sheetViews>
  <sheetFormatPr defaultColWidth="9.140625" defaultRowHeight="15" x14ac:dyDescent="0.25"/>
  <cols>
    <col min="1" max="1" width="29.140625" style="3" customWidth="1"/>
    <col min="2" max="2" width="11.85546875" style="3" customWidth="1"/>
    <col min="3" max="3" width="13.28515625" style="3" customWidth="1"/>
    <col min="4" max="4" width="8.5703125" style="3" customWidth="1"/>
    <col min="5" max="5" width="21.85546875" style="3" bestFit="1" customWidth="1"/>
    <col min="6" max="6" width="12" style="3" customWidth="1"/>
    <col min="7" max="7" width="18.85546875" style="3" customWidth="1"/>
    <col min="8" max="8" width="12" style="3" customWidth="1"/>
    <col min="9" max="9" width="16.85546875" style="3" customWidth="1"/>
    <col min="10" max="10" width="12" style="1" customWidth="1"/>
    <col min="11" max="11" width="18.85546875" style="3" customWidth="1"/>
    <col min="12" max="12" width="12" style="1" customWidth="1"/>
    <col min="13" max="13" width="17.42578125" style="3" customWidth="1"/>
    <col min="14" max="14" width="12" style="1" customWidth="1"/>
    <col min="15" max="15" width="16.85546875" style="3" customWidth="1"/>
    <col min="16" max="16" width="9.5703125" style="1" customWidth="1"/>
    <col min="17" max="17" width="15" style="1" customWidth="1"/>
    <col min="18" max="18" width="29.42578125" style="1" customWidth="1"/>
    <col min="19" max="19" width="57.5703125" style="3" customWidth="1"/>
    <col min="20" max="20" width="17" style="3" customWidth="1"/>
    <col min="21" max="21" width="60.140625" style="3" customWidth="1"/>
    <col min="22" max="22" width="31.5703125" style="3" customWidth="1"/>
    <col min="23" max="23" width="26.28515625" style="2" bestFit="1" customWidth="1"/>
    <col min="24" max="24" width="20.5703125" style="1" bestFit="1" customWidth="1"/>
    <col min="25" max="16384" width="9.140625" style="1"/>
  </cols>
  <sheetData>
    <row r="1" spans="1:23" s="2" customFormat="1" ht="24.75" customHeight="1" x14ac:dyDescent="0.25">
      <c r="A1" s="27" t="s">
        <v>36</v>
      </c>
      <c r="B1" s="65">
        <v>4</v>
      </c>
      <c r="C1" s="66"/>
      <c r="D1" s="66"/>
      <c r="E1" s="67"/>
      <c r="Q1" s="1"/>
      <c r="S1" s="6"/>
      <c r="T1" s="6"/>
      <c r="U1" s="6"/>
      <c r="V1" s="6"/>
    </row>
    <row r="2" spans="1:23" s="2" customFormat="1" ht="24.75" customHeight="1" x14ac:dyDescent="0.25">
      <c r="A2" s="27" t="s">
        <v>37</v>
      </c>
      <c r="B2" s="68" t="s">
        <v>123</v>
      </c>
      <c r="C2" s="69"/>
      <c r="D2" s="69"/>
      <c r="E2" s="70"/>
      <c r="Q2" s="1"/>
      <c r="S2" s="6"/>
      <c r="T2" s="6"/>
      <c r="U2" s="6"/>
      <c r="V2" s="6"/>
    </row>
    <row r="3" spans="1:23" s="2" customFormat="1" ht="24.75" customHeight="1" x14ac:dyDescent="0.25">
      <c r="A3" s="27" t="s">
        <v>38</v>
      </c>
      <c r="B3" s="65" t="s">
        <v>124</v>
      </c>
      <c r="C3" s="66"/>
      <c r="D3" s="66"/>
      <c r="E3" s="67"/>
      <c r="Q3" s="1"/>
      <c r="S3" s="6"/>
      <c r="T3" s="6"/>
      <c r="U3" s="6"/>
      <c r="V3" s="6"/>
    </row>
    <row r="4" spans="1:23" s="2" customFormat="1" ht="24.75" customHeight="1" x14ac:dyDescent="0.25">
      <c r="A4" s="27" t="s">
        <v>47</v>
      </c>
      <c r="B4" s="65" t="s">
        <v>112</v>
      </c>
      <c r="C4" s="66"/>
      <c r="D4" s="66"/>
      <c r="E4" s="67"/>
      <c r="Q4" s="1"/>
      <c r="S4" s="6"/>
      <c r="T4" s="6"/>
      <c r="U4" s="6"/>
      <c r="V4" s="6"/>
    </row>
    <row r="5" spans="1:23" s="2" customFormat="1" ht="24.75" customHeight="1" x14ac:dyDescent="0.25">
      <c r="A5" s="27" t="s">
        <v>5</v>
      </c>
      <c r="B5" s="65" t="s">
        <v>113</v>
      </c>
      <c r="C5" s="66"/>
      <c r="D5" s="66"/>
      <c r="E5" s="67"/>
      <c r="Q5" s="1"/>
      <c r="S5" s="6"/>
      <c r="T5" s="6"/>
      <c r="U5" s="6"/>
      <c r="V5" s="6"/>
    </row>
    <row r="6" spans="1:23" s="4" customFormat="1" ht="56.25" x14ac:dyDescent="0.25">
      <c r="A6" s="5" t="s">
        <v>28</v>
      </c>
      <c r="B6" s="5" t="s">
        <v>85</v>
      </c>
      <c r="C6" s="5" t="s">
        <v>30</v>
      </c>
      <c r="D6" s="5" t="s">
        <v>31</v>
      </c>
      <c r="E6" s="5" t="s">
        <v>16</v>
      </c>
      <c r="F6" s="5" t="s">
        <v>32</v>
      </c>
      <c r="G6" s="9" t="str">
        <f>"No_shoot - " &amp;F6</f>
        <v>No_shoot - IPSC Target</v>
      </c>
      <c r="H6" s="5" t="s">
        <v>17</v>
      </c>
      <c r="I6" s="9" t="str">
        <f>"No_shoot - " &amp;H6</f>
        <v>No_shoot - IPSC Mini Target</v>
      </c>
      <c r="J6" s="5" t="s">
        <v>18</v>
      </c>
      <c r="K6" s="9" t="str">
        <f>"No_shoot - " &amp;J6</f>
        <v>No_shoot - IPSC Popper</v>
      </c>
      <c r="L6" s="5" t="s">
        <v>19</v>
      </c>
      <c r="M6" s="9" t="str">
        <f>"No_shoot - " &amp;L6</f>
        <v>No_shoot - IPSC Mini Popper</v>
      </c>
      <c r="N6" s="5" t="s">
        <v>33</v>
      </c>
      <c r="O6" s="9" t="str">
        <f>"No_shoot - " &amp;N6</f>
        <v>No_shoot - Plates</v>
      </c>
      <c r="P6" s="5" t="s">
        <v>48</v>
      </c>
      <c r="Q6" s="5" t="s">
        <v>34</v>
      </c>
      <c r="R6" s="5" t="s">
        <v>20</v>
      </c>
      <c r="S6" s="5" t="s">
        <v>21</v>
      </c>
      <c r="T6" s="5" t="s">
        <v>35</v>
      </c>
      <c r="U6" s="5" t="s">
        <v>14</v>
      </c>
      <c r="V6" s="5" t="s">
        <v>55</v>
      </c>
    </row>
    <row r="7" spans="1:23" s="48" customFormat="1" ht="42" x14ac:dyDescent="0.25">
      <c r="A7" s="38">
        <v>1</v>
      </c>
      <c r="B7" s="38">
        <v>1</v>
      </c>
      <c r="C7" s="38">
        <f>D7*5</f>
        <v>70</v>
      </c>
      <c r="D7" s="38">
        <f>F7*2+H7*2+J7+L7+N7+P7</f>
        <v>14</v>
      </c>
      <c r="E7" s="39"/>
      <c r="F7" s="36">
        <v>5</v>
      </c>
      <c r="G7" s="34"/>
      <c r="H7" s="36"/>
      <c r="I7" s="34"/>
      <c r="J7" s="36">
        <v>0</v>
      </c>
      <c r="K7" s="34"/>
      <c r="L7" s="36">
        <v>0</v>
      </c>
      <c r="M7" s="34"/>
      <c r="N7" s="36">
        <v>4</v>
      </c>
      <c r="O7" s="34">
        <v>0</v>
      </c>
      <c r="P7" s="35"/>
      <c r="Q7" s="45" t="str">
        <f>IF(D7=0,"",IF(D7&lt;=12,"Short",IF(D7&lt;=24,"Medium",IF(D7&lt;=32,"Long"))))</f>
        <v>Medium</v>
      </c>
      <c r="R7" s="47" t="s">
        <v>120</v>
      </c>
      <c r="S7" s="49" t="s">
        <v>119</v>
      </c>
      <c r="T7" s="49" t="s">
        <v>116</v>
      </c>
      <c r="U7" s="47" t="s">
        <v>121</v>
      </c>
      <c r="V7" s="49" t="s">
        <v>115</v>
      </c>
    </row>
    <row r="8" spans="1:23" s="48" customFormat="1" ht="63" x14ac:dyDescent="0.25">
      <c r="A8" s="39">
        <v>2</v>
      </c>
      <c r="B8" s="38">
        <v>1</v>
      </c>
      <c r="C8" s="38">
        <f t="shared" ref="C8:C18" si="0">D8*5</f>
        <v>45</v>
      </c>
      <c r="D8" s="38">
        <f t="shared" ref="D8:D18" si="1">F8*2+H8*2+J8+L8+N8+P8</f>
        <v>9</v>
      </c>
      <c r="E8" s="39"/>
      <c r="F8" s="36">
        <v>3</v>
      </c>
      <c r="G8" s="34"/>
      <c r="H8" s="37"/>
      <c r="I8" s="34"/>
      <c r="J8" s="37">
        <v>1</v>
      </c>
      <c r="K8" s="34"/>
      <c r="L8" s="37">
        <v>0</v>
      </c>
      <c r="M8" s="34"/>
      <c r="N8" s="37">
        <v>2</v>
      </c>
      <c r="O8" s="34"/>
      <c r="P8" s="35"/>
      <c r="Q8" s="45" t="str">
        <f t="shared" ref="Q8:Q18" si="2">IF(D8=0,"",IF(D8&lt;=12,"Short",IF(D8&lt;=24,"Medium",IF(D8&lt;=32,"Long"))))</f>
        <v>Short</v>
      </c>
      <c r="R8" s="47" t="s">
        <v>117</v>
      </c>
      <c r="S8" s="49" t="s">
        <v>118</v>
      </c>
      <c r="T8" s="49" t="s">
        <v>116</v>
      </c>
      <c r="U8" s="47" t="s">
        <v>126</v>
      </c>
      <c r="V8" s="47"/>
      <c r="W8" s="49"/>
    </row>
    <row r="9" spans="1:23" s="48" customFormat="1" ht="84" x14ac:dyDescent="0.25">
      <c r="A9" s="38">
        <v>3</v>
      </c>
      <c r="B9" s="38">
        <v>2</v>
      </c>
      <c r="C9" s="38">
        <f t="shared" si="0"/>
        <v>60</v>
      </c>
      <c r="D9" s="38">
        <f t="shared" si="1"/>
        <v>12</v>
      </c>
      <c r="E9" s="39"/>
      <c r="F9" s="36">
        <v>5</v>
      </c>
      <c r="G9" s="34"/>
      <c r="H9" s="36"/>
      <c r="I9" s="34"/>
      <c r="J9" s="36">
        <v>2</v>
      </c>
      <c r="K9" s="34"/>
      <c r="L9" s="36">
        <v>0</v>
      </c>
      <c r="M9" s="34"/>
      <c r="N9" s="36">
        <v>0</v>
      </c>
      <c r="O9" s="34"/>
      <c r="P9" s="35"/>
      <c r="Q9" s="45" t="str">
        <f t="shared" si="2"/>
        <v>Short</v>
      </c>
      <c r="R9" s="47" t="s">
        <v>117</v>
      </c>
      <c r="S9" s="49" t="s">
        <v>118</v>
      </c>
      <c r="T9" s="49" t="s">
        <v>116</v>
      </c>
      <c r="U9" s="47" t="s">
        <v>128</v>
      </c>
      <c r="V9" s="49"/>
    </row>
    <row r="10" spans="1:23" s="48" customFormat="1" ht="84" x14ac:dyDescent="0.25">
      <c r="A10" s="39">
        <v>4</v>
      </c>
      <c r="B10" s="38">
        <v>3</v>
      </c>
      <c r="C10" s="38">
        <f t="shared" si="0"/>
        <v>55</v>
      </c>
      <c r="D10" s="38">
        <f t="shared" si="1"/>
        <v>11</v>
      </c>
      <c r="E10" s="39"/>
      <c r="F10" s="36">
        <v>4</v>
      </c>
      <c r="G10" s="34"/>
      <c r="H10" s="37"/>
      <c r="I10" s="34"/>
      <c r="J10" s="37">
        <v>3</v>
      </c>
      <c r="K10" s="34"/>
      <c r="L10" s="37">
        <v>0</v>
      </c>
      <c r="M10" s="34"/>
      <c r="N10" s="37">
        <v>0</v>
      </c>
      <c r="O10" s="34"/>
      <c r="P10" s="35"/>
      <c r="Q10" s="45" t="str">
        <f t="shared" si="2"/>
        <v>Short</v>
      </c>
      <c r="R10" s="47" t="s">
        <v>117</v>
      </c>
      <c r="S10" s="49" t="s">
        <v>127</v>
      </c>
      <c r="T10" s="49" t="s">
        <v>116</v>
      </c>
      <c r="U10" s="47" t="s">
        <v>129</v>
      </c>
      <c r="V10" s="47"/>
    </row>
    <row r="11" spans="1:23" s="48" customFormat="1" ht="79.5" customHeight="1" x14ac:dyDescent="0.25">
      <c r="A11" s="38">
        <v>5</v>
      </c>
      <c r="B11" s="38">
        <v>4</v>
      </c>
      <c r="C11" s="38">
        <f t="shared" si="0"/>
        <v>45</v>
      </c>
      <c r="D11" s="38">
        <f t="shared" si="1"/>
        <v>9</v>
      </c>
      <c r="E11" s="39"/>
      <c r="F11" s="36">
        <v>3</v>
      </c>
      <c r="G11" s="34"/>
      <c r="H11" s="36"/>
      <c r="I11" s="34"/>
      <c r="J11" s="36">
        <v>2</v>
      </c>
      <c r="K11" s="34"/>
      <c r="L11" s="36">
        <v>0</v>
      </c>
      <c r="M11" s="34"/>
      <c r="N11" s="36">
        <v>1</v>
      </c>
      <c r="O11" s="34"/>
      <c r="P11" s="35"/>
      <c r="Q11" s="45" t="str">
        <f t="shared" si="2"/>
        <v>Short</v>
      </c>
      <c r="R11" s="47" t="s">
        <v>120</v>
      </c>
      <c r="S11" s="49" t="s">
        <v>119</v>
      </c>
      <c r="T11" s="49" t="s">
        <v>116</v>
      </c>
      <c r="U11" s="47" t="s">
        <v>122</v>
      </c>
      <c r="V11" s="49"/>
    </row>
    <row r="12" spans="1:23" s="48" customFormat="1" ht="84" x14ac:dyDescent="0.25">
      <c r="A12" s="39">
        <v>6</v>
      </c>
      <c r="B12" s="38">
        <v>5</v>
      </c>
      <c r="C12" s="38">
        <f t="shared" si="0"/>
        <v>60</v>
      </c>
      <c r="D12" s="38">
        <f t="shared" si="1"/>
        <v>12</v>
      </c>
      <c r="E12" s="39"/>
      <c r="F12" s="36">
        <v>5</v>
      </c>
      <c r="G12" s="34"/>
      <c r="H12" s="37"/>
      <c r="I12" s="34"/>
      <c r="J12" s="37">
        <v>2</v>
      </c>
      <c r="K12" s="34"/>
      <c r="L12" s="37">
        <v>0</v>
      </c>
      <c r="M12" s="34"/>
      <c r="N12" s="37">
        <v>0</v>
      </c>
      <c r="O12" s="34"/>
      <c r="P12" s="35"/>
      <c r="Q12" s="45" t="str">
        <f t="shared" si="2"/>
        <v>Short</v>
      </c>
      <c r="R12" s="47" t="s">
        <v>117</v>
      </c>
      <c r="S12" s="49" t="s">
        <v>118</v>
      </c>
      <c r="T12" s="49" t="s">
        <v>116</v>
      </c>
      <c r="U12" s="47" t="s">
        <v>130</v>
      </c>
      <c r="V12" s="47"/>
    </row>
    <row r="13" spans="1:23" s="48" customFormat="1" ht="42" x14ac:dyDescent="0.25">
      <c r="A13" s="39">
        <v>7</v>
      </c>
      <c r="B13" s="39">
        <v>5</v>
      </c>
      <c r="C13" s="38">
        <f t="shared" si="0"/>
        <v>120</v>
      </c>
      <c r="D13" s="38">
        <f t="shared" si="1"/>
        <v>24</v>
      </c>
      <c r="E13" s="39"/>
      <c r="F13" s="36">
        <v>11</v>
      </c>
      <c r="G13" s="34"/>
      <c r="H13" s="37"/>
      <c r="I13" s="34"/>
      <c r="J13" s="37">
        <v>1</v>
      </c>
      <c r="K13" s="34"/>
      <c r="L13" s="37">
        <v>0</v>
      </c>
      <c r="M13" s="34"/>
      <c r="N13" s="37">
        <v>1</v>
      </c>
      <c r="O13" s="34"/>
      <c r="P13" s="35"/>
      <c r="Q13" s="45" t="str">
        <f t="shared" si="2"/>
        <v>Medium</v>
      </c>
      <c r="R13" s="47" t="s">
        <v>117</v>
      </c>
      <c r="S13" s="49" t="s">
        <v>118</v>
      </c>
      <c r="T13" s="49" t="s">
        <v>116</v>
      </c>
      <c r="U13" s="47" t="s">
        <v>121</v>
      </c>
      <c r="V13" s="49"/>
    </row>
    <row r="14" spans="1:23" s="48" customFormat="1" ht="84" x14ac:dyDescent="0.25">
      <c r="A14" s="39">
        <v>8</v>
      </c>
      <c r="B14" s="39">
        <v>6</v>
      </c>
      <c r="C14" s="38">
        <f t="shared" si="0"/>
        <v>115</v>
      </c>
      <c r="D14" s="38">
        <f t="shared" si="1"/>
        <v>23</v>
      </c>
      <c r="E14" s="39"/>
      <c r="F14" s="36">
        <v>10</v>
      </c>
      <c r="G14" s="34"/>
      <c r="H14" s="37"/>
      <c r="I14" s="34"/>
      <c r="J14" s="37">
        <v>3</v>
      </c>
      <c r="K14" s="34"/>
      <c r="L14" s="37">
        <v>0</v>
      </c>
      <c r="M14" s="34"/>
      <c r="N14" s="37">
        <v>0</v>
      </c>
      <c r="O14" s="34"/>
      <c r="P14" s="35"/>
      <c r="Q14" s="45" t="str">
        <f t="shared" si="2"/>
        <v>Medium</v>
      </c>
      <c r="R14" s="47" t="s">
        <v>117</v>
      </c>
      <c r="S14" s="49" t="s">
        <v>118</v>
      </c>
      <c r="T14" s="49" t="s">
        <v>116</v>
      </c>
      <c r="U14" s="47" t="s">
        <v>131</v>
      </c>
      <c r="V14" s="47"/>
    </row>
    <row r="15" spans="1:23" s="48" customFormat="1" ht="42" x14ac:dyDescent="0.25">
      <c r="A15" s="39">
        <v>9</v>
      </c>
      <c r="B15" s="39">
        <v>7</v>
      </c>
      <c r="C15" s="38">
        <f t="shared" si="0"/>
        <v>120</v>
      </c>
      <c r="D15" s="38">
        <f t="shared" si="1"/>
        <v>24</v>
      </c>
      <c r="E15" s="39"/>
      <c r="F15" s="36">
        <v>12</v>
      </c>
      <c r="G15" s="34"/>
      <c r="H15" s="37"/>
      <c r="I15" s="34"/>
      <c r="J15" s="37">
        <v>0</v>
      </c>
      <c r="K15" s="34"/>
      <c r="L15" s="37">
        <v>0</v>
      </c>
      <c r="M15" s="34"/>
      <c r="N15" s="37">
        <v>0</v>
      </c>
      <c r="O15" s="34"/>
      <c r="P15" s="35"/>
      <c r="Q15" s="45" t="str">
        <f t="shared" si="2"/>
        <v>Medium</v>
      </c>
      <c r="R15" s="47" t="s">
        <v>117</v>
      </c>
      <c r="S15" s="49" t="s">
        <v>119</v>
      </c>
      <c r="T15" s="49" t="s">
        <v>116</v>
      </c>
      <c r="U15" s="47" t="s">
        <v>121</v>
      </c>
      <c r="V15" s="49"/>
    </row>
    <row r="16" spans="1:23" s="48" customFormat="1" ht="42" x14ac:dyDescent="0.25">
      <c r="A16" s="39">
        <v>10</v>
      </c>
      <c r="B16" s="39">
        <v>8</v>
      </c>
      <c r="C16" s="38">
        <f t="shared" si="0"/>
        <v>120</v>
      </c>
      <c r="D16" s="38">
        <f t="shared" si="1"/>
        <v>24</v>
      </c>
      <c r="E16" s="39"/>
      <c r="F16" s="36">
        <v>11</v>
      </c>
      <c r="G16" s="34"/>
      <c r="H16" s="37"/>
      <c r="I16" s="34"/>
      <c r="J16" s="37">
        <v>0</v>
      </c>
      <c r="K16" s="34"/>
      <c r="L16" s="37">
        <v>0</v>
      </c>
      <c r="M16" s="34"/>
      <c r="N16" s="37">
        <v>2</v>
      </c>
      <c r="O16" s="34"/>
      <c r="P16" s="35"/>
      <c r="Q16" s="45" t="str">
        <f t="shared" si="2"/>
        <v>Medium</v>
      </c>
      <c r="R16" s="47" t="s">
        <v>117</v>
      </c>
      <c r="S16" s="49" t="s">
        <v>118</v>
      </c>
      <c r="T16" s="49" t="s">
        <v>116</v>
      </c>
      <c r="U16" s="47" t="s">
        <v>121</v>
      </c>
      <c r="V16" s="47"/>
    </row>
    <row r="17" spans="1:22" s="48" customFormat="1" ht="42" x14ac:dyDescent="0.25">
      <c r="A17" s="39">
        <v>11</v>
      </c>
      <c r="B17" s="39">
        <v>9</v>
      </c>
      <c r="C17" s="38">
        <f t="shared" si="0"/>
        <v>160</v>
      </c>
      <c r="D17" s="38">
        <f t="shared" si="1"/>
        <v>32</v>
      </c>
      <c r="E17" s="39"/>
      <c r="F17" s="36">
        <v>15</v>
      </c>
      <c r="G17" s="34"/>
      <c r="H17" s="37"/>
      <c r="I17" s="34"/>
      <c r="J17" s="37">
        <v>2</v>
      </c>
      <c r="K17" s="34"/>
      <c r="L17" s="37">
        <v>0</v>
      </c>
      <c r="M17" s="34"/>
      <c r="N17" s="37">
        <v>0</v>
      </c>
      <c r="O17" s="34"/>
      <c r="P17" s="35"/>
      <c r="Q17" s="45" t="str">
        <f t="shared" si="2"/>
        <v>Long</v>
      </c>
      <c r="R17" s="47" t="s">
        <v>117</v>
      </c>
      <c r="S17" s="49" t="s">
        <v>118</v>
      </c>
      <c r="T17" s="49" t="s">
        <v>116</v>
      </c>
      <c r="U17" s="47" t="s">
        <v>121</v>
      </c>
      <c r="V17" s="47"/>
    </row>
    <row r="18" spans="1:22" s="48" customFormat="1" ht="42" x14ac:dyDescent="0.25">
      <c r="A18" s="39">
        <v>12</v>
      </c>
      <c r="B18" s="39">
        <v>10</v>
      </c>
      <c r="C18" s="38">
        <f t="shared" si="0"/>
        <v>160</v>
      </c>
      <c r="D18" s="38">
        <f t="shared" si="1"/>
        <v>32</v>
      </c>
      <c r="E18" s="39"/>
      <c r="F18" s="36">
        <v>13</v>
      </c>
      <c r="G18" s="34"/>
      <c r="H18" s="37">
        <v>0</v>
      </c>
      <c r="I18" s="34"/>
      <c r="J18" s="37">
        <v>3</v>
      </c>
      <c r="K18" s="34"/>
      <c r="L18" s="37">
        <v>0</v>
      </c>
      <c r="M18" s="34"/>
      <c r="N18" s="37">
        <v>3</v>
      </c>
      <c r="O18" s="34"/>
      <c r="P18" s="35"/>
      <c r="Q18" s="45" t="str">
        <f t="shared" si="2"/>
        <v>Long</v>
      </c>
      <c r="R18" s="47" t="s">
        <v>117</v>
      </c>
      <c r="S18" s="49" t="s">
        <v>119</v>
      </c>
      <c r="T18" s="49" t="s">
        <v>116</v>
      </c>
      <c r="U18" s="47" t="s">
        <v>121</v>
      </c>
      <c r="V18" s="49"/>
    </row>
    <row r="19" spans="1:22" x14ac:dyDescent="0.25">
      <c r="C19" s="3">
        <f>SUM(C7:C18)</f>
        <v>1130</v>
      </c>
      <c r="D19" s="3">
        <f>SUM(D7:D18)</f>
        <v>226</v>
      </c>
      <c r="F19" s="3">
        <f>SUM(F7:F18)</f>
        <v>97</v>
      </c>
      <c r="G19" s="3">
        <f t="shared" ref="G19:P19" si="3">SUM(G7:G18)</f>
        <v>0</v>
      </c>
      <c r="H19" s="3">
        <f t="shared" si="3"/>
        <v>0</v>
      </c>
      <c r="I19" s="3">
        <f t="shared" si="3"/>
        <v>0</v>
      </c>
      <c r="J19" s="3">
        <f t="shared" si="3"/>
        <v>19</v>
      </c>
      <c r="K19" s="3">
        <f t="shared" si="3"/>
        <v>0</v>
      </c>
      <c r="L19" s="3">
        <f t="shared" si="3"/>
        <v>0</v>
      </c>
      <c r="M19" s="3">
        <f t="shared" si="3"/>
        <v>0</v>
      </c>
      <c r="N19" s="3">
        <f t="shared" si="3"/>
        <v>13</v>
      </c>
      <c r="O19" s="3">
        <f t="shared" si="3"/>
        <v>0</v>
      </c>
      <c r="P19" s="3">
        <f t="shared" si="3"/>
        <v>0</v>
      </c>
    </row>
  </sheetData>
  <mergeCells count="5">
    <mergeCell ref="B1:E1"/>
    <mergeCell ref="B2:E2"/>
    <mergeCell ref="B3:E3"/>
    <mergeCell ref="B4:E4"/>
    <mergeCell ref="B5:E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zoomScaleNormal="100" workbookViewId="0">
      <selection activeCell="B6" sqref="B6"/>
    </sheetView>
  </sheetViews>
  <sheetFormatPr defaultColWidth="9.140625" defaultRowHeight="18.75" x14ac:dyDescent="0.25"/>
  <cols>
    <col min="1" max="1" width="33" style="10" customWidth="1"/>
    <col min="2" max="2" width="81.85546875" style="10" customWidth="1"/>
    <col min="3" max="3" width="17.5703125" style="17" customWidth="1"/>
    <col min="4" max="4" width="20.42578125" style="29" bestFit="1" customWidth="1"/>
    <col min="5" max="5" width="23" style="29" bestFit="1" customWidth="1"/>
    <col min="6" max="6" width="18.42578125" style="29" bestFit="1" customWidth="1"/>
    <col min="7" max="7" width="24" style="29" bestFit="1" customWidth="1"/>
    <col min="8" max="8" width="11.140625" style="29" bestFit="1" customWidth="1"/>
    <col min="9" max="9" width="9.140625" style="29" bestFit="1" customWidth="1"/>
    <col min="10" max="16384" width="9.140625" style="3"/>
  </cols>
  <sheetData>
    <row r="1" spans="1:9" ht="31.5" x14ac:dyDescent="0.25">
      <c r="A1" s="73" t="s">
        <v>111</v>
      </c>
      <c r="B1" s="74"/>
      <c r="C1" s="74"/>
      <c r="D1" s="75"/>
      <c r="E1" s="28"/>
      <c r="F1" s="28"/>
      <c r="G1" s="28"/>
      <c r="H1" s="28"/>
      <c r="I1" s="28"/>
    </row>
    <row r="2" spans="1:9" x14ac:dyDescent="0.25">
      <c r="A2" s="17"/>
      <c r="B2" s="17"/>
    </row>
    <row r="3" spans="1:9" x14ac:dyDescent="0.25">
      <c r="A3" s="64" t="s">
        <v>28</v>
      </c>
      <c r="B3" s="22">
        <v>1</v>
      </c>
      <c r="D3" s="30"/>
      <c r="E3" s="30"/>
      <c r="F3" s="30"/>
      <c r="G3" s="30"/>
      <c r="H3" s="30"/>
      <c r="I3" s="30"/>
    </row>
    <row r="4" spans="1:9" x14ac:dyDescent="0.25">
      <c r="A4" s="64"/>
      <c r="B4" s="22"/>
      <c r="C4" s="62"/>
      <c r="D4" s="30"/>
      <c r="E4" s="30"/>
      <c r="F4" s="30"/>
      <c r="G4" s="30"/>
      <c r="H4" s="30"/>
      <c r="I4" s="30"/>
    </row>
    <row r="5" spans="1:9" x14ac:dyDescent="0.25">
      <c r="A5" s="23" t="s">
        <v>6</v>
      </c>
      <c r="B5" s="24" t="str">
        <f>UPPER(VLOOKUP(B3,PistasHG!$A$6:$V$18,17,FALSE))</f>
        <v>MEDIUM</v>
      </c>
      <c r="C5" s="21"/>
    </row>
    <row r="6" spans="1:9" x14ac:dyDescent="0.25">
      <c r="A6" s="23" t="s">
        <v>7</v>
      </c>
      <c r="B6" s="24" t="str">
        <f>UPPER(D6&amp;E6&amp;F6&amp;G6&amp;H6&amp;I6)</f>
        <v xml:space="preserve">5 IPSC TARGET; 4 IPSC METAL PLATES;  </v>
      </c>
      <c r="C6" s="19"/>
      <c r="D6" s="31" t="str">
        <f>IF(D7&lt;&gt;"",D7&amp; " IPSC TARGET; ","")</f>
        <v xml:space="preserve">5 IPSC TARGET; </v>
      </c>
      <c r="E6" s="31" t="str">
        <f>IF(E7&lt;&gt;"",E7&amp;" IPSC Mini Target/A4; ","")</f>
        <v/>
      </c>
      <c r="F6" s="31" t="str">
        <f>IF(F7&lt;&gt;"",F7&amp;" IPSC Popper; ","")</f>
        <v/>
      </c>
      <c r="G6" s="31" t="str">
        <f>IF(G7&lt;&gt;"",G7&amp;" IPSC Mini Popper; ","")</f>
        <v/>
      </c>
      <c r="H6" s="31" t="str">
        <f>IF(H7&lt;&gt;"",H7&amp;" IPSC Metal Plates;  ","")</f>
        <v xml:space="preserve">4 IPSC Metal Plates;  </v>
      </c>
      <c r="I6" s="31" t="str">
        <f>IF(I7&lt;&gt;"",I7&amp;" Clay; ","")</f>
        <v/>
      </c>
    </row>
    <row r="7" spans="1:9" x14ac:dyDescent="0.25">
      <c r="A7" s="23" t="s">
        <v>125</v>
      </c>
      <c r="B7" s="24" t="str">
        <f>UPPER(VLOOKUP(B3,PistasHG!$A$6:$V$18,4,FALSE))</f>
        <v>14</v>
      </c>
      <c r="C7" s="26"/>
      <c r="D7" s="32">
        <f>IF(VLOOKUP(B3,PistasHG!$A$6:$U$18,6,FALSE)=0,"",VLOOKUP(B3,PistasHG!$A$6:$U$18,6,FALSE))</f>
        <v>5</v>
      </c>
      <c r="E7" s="32" t="str">
        <f>IF(VLOOKUP(B3,PistasHG!$A$6:$U$18,8,FALSE)=0,"",VLOOKUP(B3,PistasHG!$A$6:$U$18,8,FALSE))</f>
        <v/>
      </c>
      <c r="F7" s="32" t="str">
        <f>IF(VLOOKUP(B3,PistasHG!$A$6:$U$18,10,FALSE)=0,"",VLOOKUP(B3,PistasHG!$A$6:$U$18,10,FALSE))</f>
        <v/>
      </c>
      <c r="G7" s="32" t="str">
        <f>IF(VLOOKUP(B3,PistasHG!$A$6:$U$18,12,FALSE)=0,"",VLOOKUP(B3,PistasHG!$A$6:$U$18,12,FALSE))</f>
        <v/>
      </c>
      <c r="H7" s="32">
        <f>IF(VLOOKUP(B3,PistasHG!$A$6:$T$18,14,FALSE)=0,"",VLOOKUP(B3,PistasHG!$A$6:$T$18,14,FALSE))</f>
        <v>4</v>
      </c>
      <c r="I7" s="32" t="str">
        <f>IF(VLOOKUP(B3,PistasHG!$A$6:$U$18,16,FALSE)=0,"",VLOOKUP(B3,PistasHG!$A$6:$U$18,16,FALSE))</f>
        <v/>
      </c>
    </row>
    <row r="8" spans="1:9" x14ac:dyDescent="0.25">
      <c r="A8" s="23" t="s">
        <v>10</v>
      </c>
      <c r="B8" s="24" t="str">
        <f>UPPER(VLOOKUP(B3,PistasHG!$A$6:$V$18,3,FALSE))</f>
        <v>70</v>
      </c>
      <c r="C8" s="71"/>
      <c r="D8" s="71"/>
      <c r="E8" s="71"/>
      <c r="F8" s="71"/>
      <c r="G8" s="71"/>
      <c r="H8" s="71"/>
      <c r="I8" s="1"/>
    </row>
    <row r="9" spans="1:9" x14ac:dyDescent="0.25">
      <c r="A9" s="23" t="s">
        <v>114</v>
      </c>
      <c r="B9" s="63" t="str">
        <f>(VLOOKUP(B3,PistasHG!$A$6:$V$18,18,FALSE))</f>
        <v>Loaded, flat on the table marks</v>
      </c>
      <c r="D9" s="33"/>
      <c r="E9" s="30"/>
      <c r="F9" s="30"/>
      <c r="G9" s="30"/>
      <c r="H9" s="30"/>
      <c r="I9" s="30"/>
    </row>
    <row r="10" spans="1:9" x14ac:dyDescent="0.25">
      <c r="A10" s="23" t="s">
        <v>12</v>
      </c>
      <c r="B10" s="24" t="str">
        <f>(VLOOKUP(B3,PistasHG!$A$6:$V$18,19,FALSE))</f>
        <v>Standing, facing downrange, heels touching the start line</v>
      </c>
      <c r="C10" s="72"/>
      <c r="D10" s="72"/>
      <c r="E10" s="30"/>
      <c r="F10" s="30"/>
      <c r="G10" s="30"/>
      <c r="H10" s="30"/>
      <c r="I10" s="30"/>
    </row>
    <row r="11" spans="1:9" x14ac:dyDescent="0.25">
      <c r="A11" s="23" t="s">
        <v>13</v>
      </c>
      <c r="B11" s="24" t="str">
        <f>VLOOKUP(B3,PistasHG!$A$6:$V$18,20,FALSE)</f>
        <v>Audible</v>
      </c>
      <c r="C11" s="71"/>
      <c r="D11" s="72"/>
      <c r="E11" s="72"/>
      <c r="F11" s="72"/>
      <c r="G11" s="72"/>
      <c r="H11" s="72"/>
      <c r="I11" s="1"/>
    </row>
    <row r="12" spans="1:9" ht="29.25" customHeight="1" x14ac:dyDescent="0.25">
      <c r="A12" s="23" t="s">
        <v>14</v>
      </c>
      <c r="B12" s="24" t="str">
        <f>(VLOOKUP(B3,PistasHG!$A$6:$V$18,21,FALSE))</f>
        <v>At the start signal, engage targets from within the designated area</v>
      </c>
      <c r="C12" s="71"/>
      <c r="D12" s="72"/>
      <c r="E12" s="72"/>
      <c r="F12" s="72"/>
      <c r="G12" s="72"/>
      <c r="H12" s="72"/>
      <c r="I12" s="1"/>
    </row>
    <row r="13" spans="1:9" x14ac:dyDescent="0.25">
      <c r="A13" s="23" t="s">
        <v>55</v>
      </c>
      <c r="B13" s="24" t="str">
        <f>(VLOOKUP(B3,PistasHG!$A$6:$V$18,22,FALSE))</f>
        <v xml:space="preserve"> </v>
      </c>
      <c r="C13" s="56"/>
      <c r="D13" s="55"/>
      <c r="E13" s="55"/>
      <c r="F13" s="55"/>
      <c r="G13" s="55"/>
      <c r="H13" s="55"/>
      <c r="I13" s="1"/>
    </row>
    <row r="14" spans="1:9" x14ac:dyDescent="0.25">
      <c r="A14" s="43"/>
      <c r="B14" s="44"/>
      <c r="C14" s="20"/>
      <c r="D14" s="30"/>
      <c r="E14" s="30"/>
      <c r="F14" s="30"/>
      <c r="G14" s="30"/>
      <c r="H14" s="30"/>
      <c r="I14" s="30"/>
    </row>
    <row r="15" spans="1:9" x14ac:dyDescent="0.25">
      <c r="A15" s="64" t="s">
        <v>28</v>
      </c>
      <c r="B15" s="22">
        <v>2</v>
      </c>
      <c r="C15" s="40"/>
      <c r="D15" s="30"/>
      <c r="E15" s="30"/>
      <c r="F15" s="30"/>
      <c r="G15" s="30"/>
      <c r="H15" s="30"/>
      <c r="I15" s="30"/>
    </row>
    <row r="16" spans="1:9" x14ac:dyDescent="0.25">
      <c r="A16" s="64"/>
      <c r="B16" s="22"/>
      <c r="C16" s="62"/>
      <c r="D16" s="30"/>
      <c r="E16" s="30"/>
      <c r="F16" s="30"/>
      <c r="G16" s="30"/>
      <c r="H16" s="30"/>
      <c r="I16" s="30"/>
    </row>
    <row r="17" spans="1:9" x14ac:dyDescent="0.25">
      <c r="A17" s="23" t="s">
        <v>6</v>
      </c>
      <c r="B17" s="24" t="str">
        <f>UPPER(VLOOKUP(B15,PistasHG!$A$6:$V$18,17,FALSE))</f>
        <v>SHORT</v>
      </c>
      <c r="C17" s="21"/>
      <c r="D17" s="42"/>
      <c r="E17" s="42"/>
      <c r="F17" s="42"/>
      <c r="G17" s="42"/>
      <c r="H17" s="42"/>
      <c r="I17" s="42"/>
    </row>
    <row r="18" spans="1:9" x14ac:dyDescent="0.25">
      <c r="A18" s="23" t="s">
        <v>7</v>
      </c>
      <c r="B18" s="24" t="str">
        <f>UPPER(D18&amp;E18&amp;F18&amp;G18&amp;H18&amp;I18)</f>
        <v xml:space="preserve">3 IPSC TARGET; 1 IPSC POPPER; 2 IPSC METAL PLATES;  </v>
      </c>
      <c r="C18" s="19"/>
      <c r="D18" s="31" t="str">
        <f>IF(D19&lt;&gt;"",D19&amp; " IPSC TARGET; ","")</f>
        <v xml:space="preserve">3 IPSC TARGET; </v>
      </c>
      <c r="E18" s="31" t="str">
        <f>IF(E19&lt;&gt;"",E19&amp;" IPSC Mini Target/A4; ","")</f>
        <v/>
      </c>
      <c r="F18" s="31" t="str">
        <f>IF(F19&lt;&gt;"",F19&amp;" IPSC Popper; ","")</f>
        <v xml:space="preserve">1 IPSC Popper; </v>
      </c>
      <c r="G18" s="31" t="str">
        <f>IF(G19&lt;&gt;"",G19&amp;" IPSC Mini Popper; ","")</f>
        <v/>
      </c>
      <c r="H18" s="31" t="str">
        <f>IF(H19&lt;&gt;"",H19&amp;" IPSC Metal Plates;  ","")</f>
        <v xml:space="preserve">2 IPSC Metal Plates;  </v>
      </c>
      <c r="I18" s="31" t="str">
        <f>IF(I19&lt;&gt;"",I19&amp;" Clay; ","")</f>
        <v/>
      </c>
    </row>
    <row r="19" spans="1:9" x14ac:dyDescent="0.25">
      <c r="A19" s="23" t="s">
        <v>125</v>
      </c>
      <c r="B19" s="24" t="str">
        <f>UPPER(VLOOKUP(B15,PistasHG!$A$6:$V$18,4,FALSE))</f>
        <v>9</v>
      </c>
      <c r="C19" s="26"/>
      <c r="D19" s="32">
        <f>IF(VLOOKUP(B15,PistasHG!$A$6:$U$18,6,FALSE)=0,"",VLOOKUP(B15,PistasHG!$A$6:$U$18,6,FALSE))</f>
        <v>3</v>
      </c>
      <c r="E19" s="32" t="str">
        <f>IF(VLOOKUP(B15,PistasHG!$A$6:$U$18,8,FALSE)=0,"",VLOOKUP(B15,PistasHG!$A$6:$U$18,8,FALSE))</f>
        <v/>
      </c>
      <c r="F19" s="32">
        <f>IF(VLOOKUP(B15,PistasHG!$A$6:$U$18,10,FALSE)=0,"",VLOOKUP(B15,PistasHG!$A$6:$U$18,10,FALSE))</f>
        <v>1</v>
      </c>
      <c r="G19" s="32" t="str">
        <f>IF(VLOOKUP(B15,PistasHG!$A$6:$U$18,12,FALSE)=0,"",VLOOKUP(B15,PistasHG!$A$6:$U$18,12,FALSE))</f>
        <v/>
      </c>
      <c r="H19" s="32">
        <f>IF(VLOOKUP(B15,PistasHG!$A$6:$T$18,14,FALSE)=0,"",VLOOKUP(B15,PistasHG!$A$6:$T$18,14,FALSE))</f>
        <v>2</v>
      </c>
      <c r="I19" s="32" t="str">
        <f>IF(VLOOKUP(B15,PistasHG!$A$6:$U$18,16,FALSE)=0,"",VLOOKUP(B15,PistasHG!$A$6:$U$18,16,FALSE))</f>
        <v/>
      </c>
    </row>
    <row r="20" spans="1:9" x14ac:dyDescent="0.25">
      <c r="A20" s="23" t="s">
        <v>10</v>
      </c>
      <c r="B20" s="24" t="str">
        <f>UPPER(VLOOKUP(B15,PistasHG!$A$6:$V$18,3,FALSE))</f>
        <v>45</v>
      </c>
      <c r="C20" s="71"/>
      <c r="D20" s="71"/>
      <c r="E20" s="71"/>
      <c r="F20" s="71"/>
      <c r="G20" s="71"/>
      <c r="H20" s="71"/>
      <c r="I20" s="1"/>
    </row>
    <row r="21" spans="1:9" x14ac:dyDescent="0.25">
      <c r="A21" s="23" t="s">
        <v>114</v>
      </c>
      <c r="B21" s="63" t="str">
        <f>(VLOOKUP(B15,PistasHG!$A$6:$V$18,18,FALSE))</f>
        <v>Loaded and Holstered</v>
      </c>
      <c r="C21" s="40"/>
      <c r="D21" s="33"/>
      <c r="E21" s="30"/>
      <c r="F21" s="30"/>
      <c r="G21" s="30"/>
      <c r="H21" s="30"/>
      <c r="I21" s="30"/>
    </row>
    <row r="22" spans="1:9" x14ac:dyDescent="0.25">
      <c r="A22" s="23" t="s">
        <v>12</v>
      </c>
      <c r="B22" s="24" t="str">
        <f>(VLOOKUP(B15,PistasHG!$A$6:$V$18,19,FALSE))</f>
        <v>Standing, facing downrange inside the area</v>
      </c>
      <c r="C22" s="72"/>
      <c r="D22" s="72"/>
      <c r="E22" s="30"/>
      <c r="F22" s="30"/>
      <c r="G22" s="30"/>
      <c r="H22" s="30"/>
      <c r="I22" s="30"/>
    </row>
    <row r="23" spans="1:9" x14ac:dyDescent="0.25">
      <c r="A23" s="23" t="s">
        <v>13</v>
      </c>
      <c r="B23" s="24" t="str">
        <f>VLOOKUP(B15,PistasHG!$A$6:$V$18,20,FALSE)</f>
        <v>Audible</v>
      </c>
      <c r="C23" s="71"/>
      <c r="D23" s="72"/>
      <c r="E23" s="72"/>
      <c r="F23" s="72"/>
      <c r="G23" s="72"/>
      <c r="H23" s="72"/>
      <c r="I23" s="1"/>
    </row>
    <row r="24" spans="1:9" ht="31.5" x14ac:dyDescent="0.25">
      <c r="A24" s="23" t="s">
        <v>14</v>
      </c>
      <c r="B24" s="24" t="str">
        <f>(VLOOKUP(B15,PistasHG!$A$6:$V$18,21,FALSE))</f>
        <v>At the start signal, engage targets from within the designated area, IP1 activates T1 which remains visible at rest</v>
      </c>
      <c r="C24" s="71"/>
      <c r="D24" s="72"/>
      <c r="E24" s="72"/>
      <c r="F24" s="72"/>
      <c r="G24" s="72"/>
      <c r="H24" s="72"/>
      <c r="I24" s="1"/>
    </row>
    <row r="25" spans="1:9" x14ac:dyDescent="0.25">
      <c r="A25" s="23" t="s">
        <v>55</v>
      </c>
      <c r="B25" s="24">
        <f>(VLOOKUP(B15,PistasHG!$A$6:$V$18,22,FALSE))</f>
        <v>0</v>
      </c>
      <c r="C25" s="56"/>
      <c r="D25" s="55"/>
      <c r="E25" s="55"/>
      <c r="F25" s="55"/>
      <c r="G25" s="55"/>
      <c r="H25" s="55"/>
      <c r="I25" s="1"/>
    </row>
    <row r="26" spans="1:9" x14ac:dyDescent="0.25">
      <c r="A26" s="43"/>
      <c r="B26" s="44"/>
      <c r="C26" s="20"/>
      <c r="D26" s="30"/>
      <c r="E26" s="30"/>
      <c r="F26" s="30"/>
      <c r="G26" s="30"/>
      <c r="H26" s="30"/>
      <c r="I26" s="30"/>
    </row>
    <row r="27" spans="1:9" x14ac:dyDescent="0.25">
      <c r="A27" s="64" t="s">
        <v>28</v>
      </c>
      <c r="B27" s="22">
        <v>3</v>
      </c>
      <c r="C27" s="40"/>
      <c r="D27" s="30"/>
      <c r="E27" s="30"/>
      <c r="F27" s="30"/>
      <c r="G27" s="30"/>
      <c r="H27" s="30"/>
      <c r="I27" s="30"/>
    </row>
    <row r="28" spans="1:9" x14ac:dyDescent="0.25">
      <c r="A28" s="64"/>
      <c r="B28" s="22"/>
      <c r="C28" s="62"/>
      <c r="D28" s="30"/>
      <c r="E28" s="30"/>
      <c r="F28" s="30"/>
      <c r="G28" s="30"/>
      <c r="H28" s="30"/>
      <c r="I28" s="30"/>
    </row>
    <row r="29" spans="1:9" x14ac:dyDescent="0.25">
      <c r="A29" s="23" t="s">
        <v>6</v>
      </c>
      <c r="B29" s="24" t="str">
        <f>UPPER(VLOOKUP(B27,PistasHG!$A$6:$V$18,17,FALSE))</f>
        <v>SHORT</v>
      </c>
      <c r="C29" s="21"/>
      <c r="D29" s="42"/>
      <c r="E29" s="42"/>
      <c r="F29" s="42"/>
      <c r="G29" s="42"/>
      <c r="H29" s="42"/>
      <c r="I29" s="42"/>
    </row>
    <row r="30" spans="1:9" x14ac:dyDescent="0.25">
      <c r="A30" s="23" t="s">
        <v>7</v>
      </c>
      <c r="B30" s="24" t="str">
        <f>UPPER(D30&amp;E30&amp;F30&amp;G30&amp;H30&amp;I30)</f>
        <v xml:space="preserve">5 IPSC TARGET; 2 IPSC POPPER; </v>
      </c>
      <c r="C30" s="19"/>
      <c r="D30" s="31" t="str">
        <f>IF(D31&lt;&gt;"",D31&amp; " IPSC TARGET; ","")</f>
        <v xml:space="preserve">5 IPSC TARGET; </v>
      </c>
      <c r="E30" s="31" t="str">
        <f>IF(E31&lt;&gt;"",E31&amp;" IPSC A4; ","")</f>
        <v/>
      </c>
      <c r="F30" s="31" t="str">
        <f>IF(F31&lt;&gt;"",F31&amp;" IPSC Popper; ","")</f>
        <v xml:space="preserve">2 IPSC Popper; </v>
      </c>
      <c r="G30" s="31" t="str">
        <f>IF(G31&lt;&gt;"",G31&amp;" IPSC Mini Popper; ","")</f>
        <v/>
      </c>
      <c r="H30" s="31" t="str">
        <f>IF(H31&lt;&gt;"",H31&amp;" IPSC Metal Plates ; ","")</f>
        <v/>
      </c>
      <c r="I30" s="31" t="str">
        <f>IF(I31&lt;&gt;"",I31&amp;" Clay; ","")</f>
        <v/>
      </c>
    </row>
    <row r="31" spans="1:9" x14ac:dyDescent="0.25">
      <c r="A31" s="23" t="s">
        <v>125</v>
      </c>
      <c r="B31" s="24" t="str">
        <f>UPPER(VLOOKUP(B27,PistasHG!$A$6:$V$18,4,FALSE))</f>
        <v>12</v>
      </c>
      <c r="C31" s="26"/>
      <c r="D31" s="32">
        <f>IF(VLOOKUP(B27,PistasHG!$A$6:$U$18,6,FALSE)=0,"",VLOOKUP(B27,PistasHG!$A$6:$U$18,6,FALSE))</f>
        <v>5</v>
      </c>
      <c r="E31" s="32" t="str">
        <f>IF(VLOOKUP(B27,PistasHG!$A$6:$U$18,8,FALSE)=0,"",VLOOKUP(B27,PistasHG!$A$6:$U$18,8,FALSE))</f>
        <v/>
      </c>
      <c r="F31" s="32">
        <f>IF(VLOOKUP(B27,PistasHG!$A$6:$U$18,10,FALSE)=0,"",VLOOKUP(B27,PistasHG!$A$6:$U$18,10,FALSE))</f>
        <v>2</v>
      </c>
      <c r="G31" s="32" t="str">
        <f>IF(VLOOKUP(B27,PistasHG!$A$6:$U$18,12,FALSE)=0,"",VLOOKUP(B27,PistasHG!$A$6:$U$18,12,FALSE))</f>
        <v/>
      </c>
      <c r="H31" s="32" t="str">
        <f>IF(VLOOKUP(B27,PistasHG!$A$6:$T$18,14,FALSE)=0,"",VLOOKUP(B27,PistasHG!$A$6:$T$18,14,FALSE))</f>
        <v/>
      </c>
      <c r="I31" s="32" t="str">
        <f>IF(VLOOKUP(B27,PistasHG!$A$6:$U$18,16,FALSE)=0,"",VLOOKUP(B27,PistasHG!$A$6:$U$18,16,FALSE))</f>
        <v/>
      </c>
    </row>
    <row r="32" spans="1:9" x14ac:dyDescent="0.25">
      <c r="A32" s="23" t="s">
        <v>10</v>
      </c>
      <c r="B32" s="24" t="str">
        <f>UPPER(VLOOKUP(B27,PistasHG!$A$6:$V$18,3,FALSE))</f>
        <v>60</v>
      </c>
      <c r="C32" s="71"/>
      <c r="D32" s="71"/>
      <c r="E32" s="71"/>
      <c r="F32" s="71"/>
      <c r="G32" s="71"/>
      <c r="H32" s="71"/>
      <c r="I32" s="1"/>
    </row>
    <row r="33" spans="1:9" x14ac:dyDescent="0.25">
      <c r="A33" s="23" t="s">
        <v>114</v>
      </c>
      <c r="B33" s="63" t="str">
        <f>(VLOOKUP(B27,PistasHG!$A$6:$V$18,18,FALSE))</f>
        <v>Loaded and Holstered</v>
      </c>
      <c r="C33" s="40"/>
      <c r="D33" s="33"/>
      <c r="E33" s="30"/>
      <c r="F33" s="30"/>
      <c r="G33" s="30"/>
      <c r="H33" s="30"/>
      <c r="I33" s="30"/>
    </row>
    <row r="34" spans="1:9" x14ac:dyDescent="0.25">
      <c r="A34" s="23" t="s">
        <v>12</v>
      </c>
      <c r="B34" s="24" t="str">
        <f>(VLOOKUP(B27,PistasHG!$A$6:$V$18,19,FALSE))</f>
        <v>Standing, facing downrange inside the area</v>
      </c>
      <c r="C34" s="72"/>
      <c r="D34" s="72"/>
      <c r="E34" s="30"/>
      <c r="F34" s="30"/>
      <c r="G34" s="30"/>
      <c r="H34" s="30"/>
      <c r="I34" s="30"/>
    </row>
    <row r="35" spans="1:9" x14ac:dyDescent="0.25">
      <c r="A35" s="23" t="s">
        <v>13</v>
      </c>
      <c r="B35" s="24" t="str">
        <f>VLOOKUP(B27,PistasHG!$A$6:$V$18,20,FALSE)</f>
        <v>Audible</v>
      </c>
      <c r="C35" s="71"/>
      <c r="D35" s="72"/>
      <c r="E35" s="72"/>
      <c r="F35" s="72"/>
      <c r="G35" s="72"/>
      <c r="H35" s="72"/>
      <c r="I35" s="1"/>
    </row>
    <row r="36" spans="1:9" ht="31.5" x14ac:dyDescent="0.25">
      <c r="A36" s="23" t="s">
        <v>14</v>
      </c>
      <c r="B36" s="24" t="str">
        <f>(VLOOKUP(B27,PistasHG!$A$6:$V$18,21,FALSE))</f>
        <v>At the start signal, engage targets from within the designated area.IP1 activates IT1 and IP2 activates IT2.  All moving targets are disapearing targets.</v>
      </c>
      <c r="C36" s="71"/>
      <c r="D36" s="72"/>
      <c r="E36" s="72"/>
      <c r="F36" s="72"/>
      <c r="G36" s="72"/>
      <c r="H36" s="72"/>
      <c r="I36" s="1"/>
    </row>
    <row r="37" spans="1:9" x14ac:dyDescent="0.25">
      <c r="A37" s="23" t="s">
        <v>55</v>
      </c>
      <c r="B37" s="24">
        <f>(VLOOKUP(B27,PistasHG!$A$6:$V$18,22,FALSE))</f>
        <v>0</v>
      </c>
      <c r="C37" s="56"/>
      <c r="D37" s="55"/>
      <c r="E37" s="55"/>
      <c r="F37" s="55"/>
      <c r="G37" s="55"/>
      <c r="H37" s="55"/>
      <c r="I37" s="1"/>
    </row>
    <row r="38" spans="1:9" x14ac:dyDescent="0.25">
      <c r="A38" s="43"/>
      <c r="B38" s="44"/>
      <c r="C38" s="20"/>
      <c r="D38" s="30"/>
      <c r="E38" s="30"/>
      <c r="F38" s="30"/>
      <c r="G38" s="30"/>
      <c r="H38" s="30"/>
      <c r="I38" s="30"/>
    </row>
    <row r="39" spans="1:9" x14ac:dyDescent="0.25">
      <c r="A39" s="64" t="s">
        <v>28</v>
      </c>
      <c r="B39" s="22">
        <v>4</v>
      </c>
      <c r="C39" s="40"/>
      <c r="D39" s="30"/>
      <c r="E39" s="30"/>
      <c r="F39" s="30"/>
      <c r="G39" s="30"/>
      <c r="H39" s="30"/>
      <c r="I39" s="30"/>
    </row>
    <row r="40" spans="1:9" x14ac:dyDescent="0.25">
      <c r="A40" s="64"/>
      <c r="B40" s="22"/>
      <c r="C40" s="62"/>
      <c r="D40" s="30"/>
      <c r="E40" s="30"/>
      <c r="F40" s="30"/>
      <c r="G40" s="30"/>
      <c r="H40" s="30"/>
      <c r="I40" s="30"/>
    </row>
    <row r="41" spans="1:9" x14ac:dyDescent="0.25">
      <c r="A41" s="23" t="s">
        <v>6</v>
      </c>
      <c r="B41" s="24" t="str">
        <f>UPPER(VLOOKUP(B39,PistasHG!$A$6:$V$18,17,FALSE))</f>
        <v>SHORT</v>
      </c>
      <c r="C41" s="21"/>
      <c r="D41" s="42"/>
      <c r="E41" s="42"/>
      <c r="F41" s="42"/>
      <c r="G41" s="42"/>
      <c r="H41" s="42"/>
      <c r="I41" s="42"/>
    </row>
    <row r="42" spans="1:9" x14ac:dyDescent="0.25">
      <c r="A42" s="23" t="s">
        <v>7</v>
      </c>
      <c r="B42" s="24" t="str">
        <f>UPPER(D42&amp;E42&amp;F42&amp;G42&amp;H42&amp;I42)</f>
        <v xml:space="preserve">4 IPSC TARGET; 3 IPSC POPPER; </v>
      </c>
      <c r="C42" s="19"/>
      <c r="D42" s="31" t="str">
        <f>IF(D43&lt;&gt;"",D43&amp; " IPSC TARGET; ","")</f>
        <v xml:space="preserve">4 IPSC TARGET; </v>
      </c>
      <c r="E42" s="31" t="str">
        <f>IF(E43&lt;&gt;"",E43&amp;" IPSC Mini Target/A4; ","")</f>
        <v/>
      </c>
      <c r="F42" s="31" t="str">
        <f>IF(F43&lt;&gt;"",F43&amp;" IPSC Popper; ","")</f>
        <v xml:space="preserve">3 IPSC Popper; </v>
      </c>
      <c r="G42" s="31" t="str">
        <f>IF(G43&lt;&gt;"",G43&amp;" IPSC Mini Popper; ","")</f>
        <v/>
      </c>
      <c r="H42" s="31" t="str">
        <f>IF(H43&lt;&gt;"",H43&amp;" IPSC Metal Plates ; ","")</f>
        <v/>
      </c>
      <c r="I42" s="31" t="str">
        <f>IF(I43&lt;&gt;"",I43&amp;" Clay; ","")</f>
        <v/>
      </c>
    </row>
    <row r="43" spans="1:9" x14ac:dyDescent="0.25">
      <c r="A43" s="23" t="s">
        <v>125</v>
      </c>
      <c r="B43" s="24" t="str">
        <f>UPPER(VLOOKUP(B39,PistasHG!$A$6:$V$18,4,FALSE))</f>
        <v>11</v>
      </c>
      <c r="C43" s="26"/>
      <c r="D43" s="32">
        <f>IF(VLOOKUP(B39,PistasHG!$A$6:$U$18,6,FALSE)=0,"",VLOOKUP(B39,PistasHG!$A$6:$U$18,6,FALSE))</f>
        <v>4</v>
      </c>
      <c r="E43" s="32" t="str">
        <f>IF(VLOOKUP(B39,PistasHG!$A$6:$U$18,8,FALSE)=0,"",VLOOKUP(B39,PistasHG!$A$6:$U$18,8,FALSE))</f>
        <v/>
      </c>
      <c r="F43" s="32">
        <f>IF(VLOOKUP(B39,PistasHG!$A$6:$U$18,10,FALSE)=0,"",VLOOKUP(B39,PistasHG!$A$6:$U$18,10,FALSE))</f>
        <v>3</v>
      </c>
      <c r="G43" s="32" t="str">
        <f>IF(VLOOKUP(B39,PistasHG!$A$6:$U$18,12,FALSE)=0,"",VLOOKUP(B39,PistasHG!$A$6:$U$18,12,FALSE))</f>
        <v/>
      </c>
      <c r="H43" s="32" t="str">
        <f>IF(VLOOKUP(B39,PistasHG!$A$6:$T$18,14,FALSE)=0,"",VLOOKUP(B39,PistasHG!$A$6:$T$18,14,FALSE))</f>
        <v/>
      </c>
      <c r="I43" s="32" t="str">
        <f>IF(VLOOKUP(B39,PistasHG!$A$6:$U$18,16,FALSE)=0,"",VLOOKUP(B39,PistasHG!$A$6:$U$18,16,FALSE))</f>
        <v/>
      </c>
    </row>
    <row r="44" spans="1:9" x14ac:dyDescent="0.25">
      <c r="A44" s="23" t="s">
        <v>10</v>
      </c>
      <c r="B44" s="24" t="str">
        <f>UPPER(VLOOKUP(B39,PistasHG!$A$6:$V$18,3,FALSE))</f>
        <v>55</v>
      </c>
      <c r="C44" s="71"/>
      <c r="D44" s="71"/>
      <c r="E44" s="71"/>
      <c r="F44" s="71"/>
      <c r="G44" s="71"/>
      <c r="H44" s="71"/>
      <c r="I44" s="1"/>
    </row>
    <row r="45" spans="1:9" x14ac:dyDescent="0.25">
      <c r="A45" s="23" t="s">
        <v>114</v>
      </c>
      <c r="B45" s="63" t="str">
        <f>(VLOOKUP(B39,PistasHG!$A$6:$V$18,18,FALSE))</f>
        <v>Loaded and Holstered</v>
      </c>
      <c r="C45" s="40"/>
      <c r="D45" s="33"/>
      <c r="E45" s="30"/>
      <c r="F45" s="30"/>
      <c r="G45" s="30"/>
      <c r="H45" s="30"/>
      <c r="I45" s="30"/>
    </row>
    <row r="46" spans="1:9" x14ac:dyDescent="0.25">
      <c r="A46" s="23" t="s">
        <v>12</v>
      </c>
      <c r="B46" s="24" t="str">
        <f>(VLOOKUP(B39,PistasHG!$A$6:$V$18,19,FALSE))</f>
        <v>Standing, hands touching marks as demonstraded</v>
      </c>
      <c r="C46" s="72"/>
      <c r="D46" s="72"/>
      <c r="E46" s="30"/>
      <c r="F46" s="30"/>
      <c r="G46" s="30"/>
      <c r="H46" s="30"/>
      <c r="I46" s="30"/>
    </row>
    <row r="47" spans="1:9" x14ac:dyDescent="0.25">
      <c r="A47" s="23" t="s">
        <v>13</v>
      </c>
      <c r="B47" s="24" t="str">
        <f>VLOOKUP(B39,PistasHG!$A$6:$V$18,20,FALSE)</f>
        <v>Audible</v>
      </c>
      <c r="C47" s="71"/>
      <c r="D47" s="72"/>
      <c r="E47" s="72"/>
      <c r="F47" s="72"/>
      <c r="G47" s="72"/>
      <c r="H47" s="72"/>
      <c r="I47" s="1"/>
    </row>
    <row r="48" spans="1:9" ht="31.5" x14ac:dyDescent="0.25">
      <c r="A48" s="23" t="s">
        <v>14</v>
      </c>
      <c r="B48" s="24" t="str">
        <f>(VLOOKUP(B39,PistasHG!$A$6:$V$18,21,FALSE))</f>
        <v>At the start signal, engage targets from within the designated area. IP1 activates IT2 and IP2 activates IT1.  All moving targets are disapearing targets.</v>
      </c>
      <c r="C48" s="71"/>
      <c r="D48" s="72"/>
      <c r="E48" s="72"/>
      <c r="F48" s="72"/>
      <c r="G48" s="72"/>
      <c r="H48" s="72"/>
      <c r="I48" s="1"/>
    </row>
    <row r="49" spans="1:9" x14ac:dyDescent="0.25">
      <c r="A49" s="23" t="s">
        <v>55</v>
      </c>
      <c r="B49" s="24">
        <f>(VLOOKUP(B39,PistasHG!$A$6:$V$18,22,FALSE))</f>
        <v>0</v>
      </c>
      <c r="C49" s="41"/>
      <c r="D49" s="40"/>
      <c r="E49" s="40"/>
      <c r="F49" s="40"/>
      <c r="G49" s="40"/>
      <c r="H49" s="40"/>
      <c r="I49" s="1"/>
    </row>
    <row r="50" spans="1:9" x14ac:dyDescent="0.25">
      <c r="A50" s="43"/>
      <c r="B50" s="44"/>
      <c r="C50" s="20"/>
      <c r="D50" s="30"/>
      <c r="E50" s="30"/>
      <c r="F50" s="30"/>
      <c r="G50" s="30"/>
      <c r="H50" s="30"/>
      <c r="I50" s="30"/>
    </row>
    <row r="51" spans="1:9" x14ac:dyDescent="0.25">
      <c r="A51" s="64" t="s">
        <v>28</v>
      </c>
      <c r="B51" s="22">
        <v>5</v>
      </c>
      <c r="C51" s="40"/>
      <c r="D51" s="30"/>
      <c r="E51" s="30"/>
      <c r="F51" s="30"/>
      <c r="G51" s="30"/>
      <c r="H51" s="30"/>
      <c r="I51" s="30"/>
    </row>
    <row r="52" spans="1:9" x14ac:dyDescent="0.25">
      <c r="A52" s="64"/>
      <c r="B52" s="22"/>
      <c r="C52" s="62"/>
      <c r="D52" s="30"/>
      <c r="E52" s="30"/>
      <c r="F52" s="30"/>
      <c r="G52" s="30"/>
      <c r="H52" s="30"/>
      <c r="I52" s="30"/>
    </row>
    <row r="53" spans="1:9" x14ac:dyDescent="0.25">
      <c r="A53" s="23" t="s">
        <v>6</v>
      </c>
      <c r="B53" s="24" t="str">
        <f>UPPER(VLOOKUP(B51,PistasHG!$A$6:$V$18,17,FALSE))</f>
        <v>SHORT</v>
      </c>
      <c r="C53" s="21"/>
      <c r="D53" s="42"/>
      <c r="E53" s="42"/>
      <c r="F53" s="42"/>
      <c r="G53" s="42"/>
      <c r="H53" s="42"/>
      <c r="I53" s="42"/>
    </row>
    <row r="54" spans="1:9" x14ac:dyDescent="0.25">
      <c r="A54" s="23" t="s">
        <v>7</v>
      </c>
      <c r="B54" s="24" t="str">
        <f>UPPER(D54&amp;E54&amp;F54&amp;G54&amp;H54&amp;I54)</f>
        <v xml:space="preserve">3 IPSC TARGET; 2 IPSC POPPER; 1 IPSC METAL PLATES ; </v>
      </c>
      <c r="C54" s="19"/>
      <c r="D54" s="31" t="str">
        <f>IF(D55&lt;&gt;"",D55&amp; " IPSC TARGET; ","")</f>
        <v xml:space="preserve">3 IPSC TARGET; </v>
      </c>
      <c r="E54" s="31" t="str">
        <f>IF(E55&lt;&gt;"",E55&amp;" IPSC Mini Target/A4; ","")</f>
        <v/>
      </c>
      <c r="F54" s="31" t="str">
        <f>IF(F55&lt;&gt;"",F55&amp;" IPSC Popper; ","")</f>
        <v xml:space="preserve">2 IPSC Popper; </v>
      </c>
      <c r="G54" s="31" t="str">
        <f>IF(G55&lt;&gt;"",G55&amp;" IPSC Mini Popper; ","")</f>
        <v/>
      </c>
      <c r="H54" s="31" t="str">
        <f>IF(H55&lt;&gt;"",H55&amp;" IPSC Metal Plates ; ","")</f>
        <v xml:space="preserve">1 IPSC Metal Plates ; </v>
      </c>
      <c r="I54" s="31" t="str">
        <f>IF(I55&lt;&gt;"",I55&amp;" Clay; ","")</f>
        <v/>
      </c>
    </row>
    <row r="55" spans="1:9" x14ac:dyDescent="0.25">
      <c r="A55" s="23" t="s">
        <v>125</v>
      </c>
      <c r="B55" s="24" t="str">
        <f>UPPER(VLOOKUP(B51,PistasHG!$A$6:$V$18,4,FALSE))</f>
        <v>9</v>
      </c>
      <c r="C55" s="26"/>
      <c r="D55" s="32">
        <f>IF(VLOOKUP(B51,PistasHG!$A$6:$U$18,6,FALSE)=0,"",VLOOKUP(B51,PistasHG!$A$6:$U$18,6,FALSE))</f>
        <v>3</v>
      </c>
      <c r="E55" s="32" t="str">
        <f>IF(VLOOKUP(B51,PistasHG!$A$6:$U$18,8,FALSE)=0,"",VLOOKUP(B51,PistasHG!$A$6:$U$18,8,FALSE))</f>
        <v/>
      </c>
      <c r="F55" s="32">
        <f>IF(VLOOKUP(B51,PistasHG!$A$6:$U$18,10,FALSE)=0,"",VLOOKUP(B51,PistasHG!$A$6:$U$18,10,FALSE))</f>
        <v>2</v>
      </c>
      <c r="G55" s="32" t="str">
        <f>IF(VLOOKUP(B51,PistasHG!$A$6:$U$18,12,FALSE)=0,"",VLOOKUP(B51,PistasHG!$A$6:$U$18,12,FALSE))</f>
        <v/>
      </c>
      <c r="H55" s="32">
        <f>IF(VLOOKUP(B51,PistasHG!$A$6:$T$18,14,FALSE)=0,"",VLOOKUP(B51,PistasHG!$A$6:$T$18,14,FALSE))</f>
        <v>1</v>
      </c>
      <c r="I55" s="32" t="str">
        <f>IF(VLOOKUP(B51,PistasHG!$A$6:$U$18,16,FALSE)=0,"",VLOOKUP(B51,PistasHG!$A$6:$U$18,16,FALSE))</f>
        <v/>
      </c>
    </row>
    <row r="56" spans="1:9" x14ac:dyDescent="0.25">
      <c r="A56" s="23" t="s">
        <v>10</v>
      </c>
      <c r="B56" s="24" t="str">
        <f>UPPER(VLOOKUP(B51,PistasHG!$A$6:$V$18,3,FALSE))</f>
        <v>45</v>
      </c>
      <c r="C56" s="71"/>
      <c r="D56" s="71"/>
      <c r="E56" s="71"/>
      <c r="F56" s="71"/>
      <c r="G56" s="71"/>
      <c r="H56" s="71"/>
      <c r="I56" s="1"/>
    </row>
    <row r="57" spans="1:9" x14ac:dyDescent="0.25">
      <c r="A57" s="23" t="s">
        <v>114</v>
      </c>
      <c r="B57" s="63" t="str">
        <f>(VLOOKUP(B51,PistasHG!$A$6:$V$18,18,FALSE))</f>
        <v>Loaded, flat on the table marks</v>
      </c>
      <c r="C57" s="40"/>
      <c r="D57" s="33"/>
      <c r="E57" s="30"/>
      <c r="F57" s="30"/>
      <c r="G57" s="30"/>
      <c r="H57" s="30"/>
      <c r="I57" s="30"/>
    </row>
    <row r="58" spans="1:9" x14ac:dyDescent="0.25">
      <c r="A58" s="23" t="s">
        <v>12</v>
      </c>
      <c r="B58" s="24" t="str">
        <f>(VLOOKUP(B51,PistasHG!$A$6:$V$18,19,FALSE))</f>
        <v>Standing, facing downrange, heels touching the start line</v>
      </c>
      <c r="C58" s="72"/>
      <c r="D58" s="72"/>
      <c r="E58" s="30"/>
      <c r="F58" s="30"/>
      <c r="G58" s="30"/>
      <c r="H58" s="30"/>
      <c r="I58" s="30"/>
    </row>
    <row r="59" spans="1:9" x14ac:dyDescent="0.25">
      <c r="A59" s="23" t="s">
        <v>13</v>
      </c>
      <c r="B59" s="24" t="str">
        <f>VLOOKUP(B51,PistasHG!$A$6:$V$18,20,FALSE)</f>
        <v>Audible</v>
      </c>
      <c r="C59" s="71"/>
      <c r="D59" s="72"/>
      <c r="E59" s="72"/>
      <c r="F59" s="72"/>
      <c r="G59" s="72"/>
      <c r="H59" s="72"/>
      <c r="I59" s="1"/>
    </row>
    <row r="60" spans="1:9" x14ac:dyDescent="0.25">
      <c r="A60" s="23" t="s">
        <v>14</v>
      </c>
      <c r="B60" s="24" t="str">
        <f>(VLOOKUP(B51,PistasHG!$A$6:$V$18,21,FALSE))</f>
        <v>At the start signal, engage targets from within the designated area, Weak hand only</v>
      </c>
      <c r="C60" s="71"/>
      <c r="D60" s="72"/>
      <c r="E60" s="72"/>
      <c r="F60" s="72"/>
      <c r="G60" s="72"/>
      <c r="H60" s="72"/>
      <c r="I60" s="1"/>
    </row>
    <row r="61" spans="1:9" x14ac:dyDescent="0.25">
      <c r="A61" s="23" t="s">
        <v>55</v>
      </c>
      <c r="B61" s="24">
        <f>(VLOOKUP(B51,PistasHG!$A$6:$V$18,22,FALSE))</f>
        <v>0</v>
      </c>
      <c r="C61" s="41"/>
      <c r="D61" s="40"/>
      <c r="E61" s="40"/>
      <c r="F61" s="40"/>
      <c r="G61" s="40"/>
      <c r="H61" s="40"/>
      <c r="I61" s="1"/>
    </row>
    <row r="62" spans="1:9" x14ac:dyDescent="0.25">
      <c r="A62" s="43"/>
      <c r="B62" s="44"/>
      <c r="C62" s="20"/>
      <c r="D62" s="30"/>
      <c r="E62" s="30"/>
      <c r="F62" s="30"/>
      <c r="G62" s="30"/>
      <c r="H62" s="30"/>
      <c r="I62" s="30"/>
    </row>
    <row r="63" spans="1:9" x14ac:dyDescent="0.25">
      <c r="A63" s="64" t="s">
        <v>28</v>
      </c>
      <c r="B63" s="22">
        <v>6</v>
      </c>
      <c r="C63" s="40"/>
      <c r="D63" s="30"/>
      <c r="E63" s="30"/>
      <c r="F63" s="30"/>
      <c r="G63" s="30"/>
      <c r="H63" s="30"/>
      <c r="I63" s="30"/>
    </row>
    <row r="64" spans="1:9" x14ac:dyDescent="0.25">
      <c r="A64" s="64"/>
      <c r="B64" s="22"/>
      <c r="C64" s="62"/>
      <c r="D64" s="30"/>
      <c r="E64" s="30"/>
      <c r="F64" s="30"/>
      <c r="G64" s="30"/>
      <c r="H64" s="30"/>
      <c r="I64" s="30"/>
    </row>
    <row r="65" spans="1:9" x14ac:dyDescent="0.25">
      <c r="A65" s="23" t="s">
        <v>6</v>
      </c>
      <c r="B65" s="24" t="str">
        <f>UPPER(VLOOKUP(B63,PistasHG!$A$6:$V$18,17,FALSE))</f>
        <v>SHORT</v>
      </c>
      <c r="C65" s="21"/>
      <c r="D65" s="42"/>
      <c r="E65" s="42"/>
      <c r="F65" s="42"/>
      <c r="G65" s="42"/>
      <c r="H65" s="42"/>
      <c r="I65" s="42"/>
    </row>
    <row r="66" spans="1:9" x14ac:dyDescent="0.25">
      <c r="A66" s="23" t="s">
        <v>7</v>
      </c>
      <c r="B66" s="24" t="str">
        <f>UPPER(D66&amp;E66&amp;F66&amp;G66&amp;H66&amp;I66)</f>
        <v xml:space="preserve">5 IPSC TARGET; 2 IPSC POPPER; </v>
      </c>
      <c r="C66" s="19"/>
      <c r="D66" s="31" t="str">
        <f>IF(D67&lt;&gt;"",D67&amp; " IPSC TARGET; ","")</f>
        <v xml:space="preserve">5 IPSC TARGET; </v>
      </c>
      <c r="E66" s="31" t="str">
        <f>IF(E67&lt;&gt;"",E67&amp;" IPSC Mini Target/A4; ","")</f>
        <v/>
      </c>
      <c r="F66" s="31" t="str">
        <f>IF(F67&lt;&gt;"",F67&amp;" IPSC Popper; ","")</f>
        <v xml:space="preserve">2 IPSC Popper; </v>
      </c>
      <c r="G66" s="31" t="str">
        <f>IF(G67&lt;&gt;"",G67&amp;" IPSC Mini Popper; ","")</f>
        <v/>
      </c>
      <c r="H66" s="31" t="str">
        <f>IF(H67&lt;&gt;"",H67&amp;" IPSC Metal Plates ; ","")</f>
        <v/>
      </c>
      <c r="I66" s="31" t="str">
        <f>IF(I67&lt;&gt;"",I67&amp;" Clay; ","")</f>
        <v/>
      </c>
    </row>
    <row r="67" spans="1:9" x14ac:dyDescent="0.25">
      <c r="A67" s="23" t="s">
        <v>125</v>
      </c>
      <c r="B67" s="24" t="str">
        <f>UPPER(VLOOKUP(B63,PistasHG!$A$6:$V$18,4,FALSE))</f>
        <v>12</v>
      </c>
      <c r="C67" s="26"/>
      <c r="D67" s="32">
        <f>IF(VLOOKUP(B63,PistasHG!$A$6:$U$18,6,FALSE)=0,"",VLOOKUP(B63,PistasHG!$A$6:$U$18,6,FALSE))</f>
        <v>5</v>
      </c>
      <c r="E67" s="32" t="str">
        <f>IF(VLOOKUP(B63,PistasHG!$A$6:$U$18,8,FALSE)=0,"",VLOOKUP(B63,PistasHG!$A$6:$U$18,8,FALSE))</f>
        <v/>
      </c>
      <c r="F67" s="32">
        <f>IF(VLOOKUP(B63,PistasHG!$A$6:$U$18,10,FALSE)=0,"",VLOOKUP(B63,PistasHG!$A$6:$U$18,10,FALSE))</f>
        <v>2</v>
      </c>
      <c r="G67" s="32" t="str">
        <f>IF(VLOOKUP(B63,PistasHG!$A$6:$U$18,12,FALSE)=0,"",VLOOKUP(B63,PistasHG!$A$6:$U$18,12,FALSE))</f>
        <v/>
      </c>
      <c r="H67" s="32" t="str">
        <f>IF(VLOOKUP(B63,PistasHG!$A$6:$T$18,14,FALSE)=0,"",VLOOKUP(B63,PistasHG!$A$6:$T$18,14,FALSE))</f>
        <v/>
      </c>
      <c r="I67" s="32" t="str">
        <f>IF(VLOOKUP(B63,PistasHG!$A$6:$U$18,16,FALSE)=0,"",VLOOKUP(B63,PistasHG!$A$6:$U$18,16,FALSE))</f>
        <v/>
      </c>
    </row>
    <row r="68" spans="1:9" x14ac:dyDescent="0.25">
      <c r="A68" s="23" t="s">
        <v>10</v>
      </c>
      <c r="B68" s="24" t="str">
        <f>UPPER(VLOOKUP(B63,PistasHG!$A$6:$V$18,3,FALSE))</f>
        <v>60</v>
      </c>
      <c r="C68" s="71"/>
      <c r="D68" s="71"/>
      <c r="E68" s="71"/>
      <c r="F68" s="71"/>
      <c r="G68" s="71"/>
      <c r="H68" s="71"/>
      <c r="I68" s="1"/>
    </row>
    <row r="69" spans="1:9" x14ac:dyDescent="0.25">
      <c r="A69" s="23" t="s">
        <v>114</v>
      </c>
      <c r="B69" s="63" t="str">
        <f>(VLOOKUP(B63,PistasHG!$A$6:$V$18,18,FALSE))</f>
        <v>Loaded and Holstered</v>
      </c>
      <c r="C69" s="40"/>
      <c r="D69" s="33"/>
      <c r="E69" s="30"/>
      <c r="F69" s="30"/>
      <c r="G69" s="30"/>
      <c r="H69" s="30"/>
      <c r="I69" s="30"/>
    </row>
    <row r="70" spans="1:9" x14ac:dyDescent="0.25">
      <c r="A70" s="23" t="s">
        <v>12</v>
      </c>
      <c r="B70" s="24" t="str">
        <f>(VLOOKUP(B63,PistasHG!$A$6:$V$18,19,FALSE))</f>
        <v>Standing, facing downrange inside the area</v>
      </c>
      <c r="C70" s="72"/>
      <c r="D70" s="72"/>
      <c r="E70" s="30"/>
      <c r="F70" s="30"/>
      <c r="G70" s="30"/>
      <c r="H70" s="30"/>
      <c r="I70" s="30"/>
    </row>
    <row r="71" spans="1:9" x14ac:dyDescent="0.25">
      <c r="A71" s="23" t="s">
        <v>13</v>
      </c>
      <c r="B71" s="24" t="str">
        <f>VLOOKUP(B63,PistasHG!$A$6:$V$18,20,FALSE)</f>
        <v>Audible</v>
      </c>
      <c r="C71" s="71"/>
      <c r="D71" s="72"/>
      <c r="E71" s="72"/>
      <c r="F71" s="72"/>
      <c r="G71" s="72"/>
      <c r="H71" s="72"/>
      <c r="I71" s="1"/>
    </row>
    <row r="72" spans="1:9" ht="31.5" x14ac:dyDescent="0.25">
      <c r="A72" s="23" t="s">
        <v>14</v>
      </c>
      <c r="B72" s="24" t="str">
        <f>(VLOOKUP(B63,PistasHG!$A$6:$V$18,21,FALSE))</f>
        <v>At the start signal, engage targets from within the designated area. .IP1 activates IT1 and IP2 activates IT2.  All moving targets remains visible at rest.</v>
      </c>
      <c r="C72" s="71"/>
      <c r="D72" s="72"/>
      <c r="E72" s="72"/>
      <c r="F72" s="72"/>
      <c r="G72" s="72"/>
      <c r="H72" s="72"/>
      <c r="I72" s="1"/>
    </row>
    <row r="73" spans="1:9" x14ac:dyDescent="0.25">
      <c r="A73" s="23" t="s">
        <v>55</v>
      </c>
      <c r="B73" s="24">
        <f>(VLOOKUP(B63,PistasHG!$A$6:$V$18,22,FALSE))</f>
        <v>0</v>
      </c>
      <c r="C73" s="56"/>
      <c r="D73" s="55"/>
      <c r="E73" s="55"/>
      <c r="F73" s="55"/>
      <c r="G73" s="55"/>
      <c r="H73" s="55"/>
      <c r="I73" s="1"/>
    </row>
    <row r="74" spans="1:9" x14ac:dyDescent="0.25">
      <c r="A74" s="43"/>
      <c r="B74" s="44"/>
      <c r="C74" s="20"/>
      <c r="D74" s="30"/>
      <c r="E74" s="30"/>
      <c r="F74" s="30"/>
      <c r="G74" s="30"/>
      <c r="H74" s="30"/>
      <c r="I74" s="30"/>
    </row>
    <row r="75" spans="1:9" x14ac:dyDescent="0.25">
      <c r="A75" s="64" t="s">
        <v>28</v>
      </c>
      <c r="B75" s="22">
        <v>7</v>
      </c>
      <c r="C75" s="40"/>
      <c r="D75" s="30"/>
      <c r="E75" s="30"/>
      <c r="F75" s="30"/>
      <c r="G75" s="30"/>
      <c r="H75" s="30"/>
      <c r="I75" s="30"/>
    </row>
    <row r="76" spans="1:9" x14ac:dyDescent="0.25">
      <c r="A76" s="64"/>
      <c r="B76" s="22"/>
      <c r="C76" s="62"/>
      <c r="D76" s="30"/>
      <c r="E76" s="30"/>
      <c r="F76" s="30"/>
      <c r="G76" s="30"/>
      <c r="H76" s="30"/>
      <c r="I76" s="30"/>
    </row>
    <row r="77" spans="1:9" x14ac:dyDescent="0.25">
      <c r="A77" s="23" t="s">
        <v>6</v>
      </c>
      <c r="B77" s="24" t="str">
        <f>UPPER(VLOOKUP(B75,PistasHG!$A$6:$V$18,17,FALSE))</f>
        <v>MEDIUM</v>
      </c>
      <c r="C77" s="21"/>
      <c r="D77" s="42"/>
      <c r="E77" s="42"/>
      <c r="F77" s="42"/>
      <c r="G77" s="42"/>
      <c r="H77" s="42"/>
      <c r="I77" s="42"/>
    </row>
    <row r="78" spans="1:9" x14ac:dyDescent="0.25">
      <c r="A78" s="23" t="s">
        <v>7</v>
      </c>
      <c r="B78" s="24" t="str">
        <f>UPPER(D78&amp;E78&amp;F78&amp;G78&amp;H78&amp;I78)</f>
        <v xml:space="preserve">11 IPSC TARGET; 1 IPSC POPPER; 1 IPSC METAL PLATES ; </v>
      </c>
      <c r="C78" s="19"/>
      <c r="D78" s="31" t="str">
        <f>IF(D79&lt;&gt;"",D79&amp; " IPSC TARGET; ","")</f>
        <v xml:space="preserve">11 IPSC TARGET; </v>
      </c>
      <c r="E78" s="31" t="str">
        <f>IF(E79&lt;&gt;"",E79&amp;" IPSC Mini Target/A4; ","")</f>
        <v/>
      </c>
      <c r="F78" s="31" t="str">
        <f>IF(F79&lt;&gt;"",F79&amp;" IPSC Popper; ","")</f>
        <v xml:space="preserve">1 IPSC Popper; </v>
      </c>
      <c r="G78" s="31" t="str">
        <f>IF(G79&lt;&gt;"",G79&amp;" IPSC Mini Popper; ","")</f>
        <v/>
      </c>
      <c r="H78" s="31" t="str">
        <f>IF(H79&lt;&gt;"",H79&amp;" IPSC Metal Plates ; ","")</f>
        <v xml:space="preserve">1 IPSC Metal Plates ; </v>
      </c>
      <c r="I78" s="31" t="str">
        <f>IF(I79&lt;&gt;"",I79&amp;" Clay; ","")</f>
        <v/>
      </c>
    </row>
    <row r="79" spans="1:9" x14ac:dyDescent="0.25">
      <c r="A79" s="23" t="s">
        <v>125</v>
      </c>
      <c r="B79" s="24" t="str">
        <f>UPPER(VLOOKUP(B75,PistasHG!$A$6:$V$18,4,FALSE))</f>
        <v>24</v>
      </c>
      <c r="C79" s="26"/>
      <c r="D79" s="32">
        <f>IF(VLOOKUP(B75,PistasHG!$A$6:$U$18,6,FALSE)=0,"",VLOOKUP(B75,PistasHG!$A$6:$U$18,6,FALSE))</f>
        <v>11</v>
      </c>
      <c r="E79" s="32" t="str">
        <f>IF(VLOOKUP(B75,PistasHG!$A$6:$U$18,8,FALSE)=0,"",VLOOKUP(B75,PistasHG!$A$6:$U$18,8,FALSE))</f>
        <v/>
      </c>
      <c r="F79" s="32">
        <f>IF(VLOOKUP(B75,PistasHG!$A$6:$U$18,10,FALSE)=0,"",VLOOKUP(B75,PistasHG!$A$6:$U$18,10,FALSE))</f>
        <v>1</v>
      </c>
      <c r="G79" s="32" t="str">
        <f>IF(VLOOKUP(B75,PistasHG!$A$6:$U$18,12,FALSE)=0,"",VLOOKUP(B75,PistasHG!$A$6:$U$18,12,FALSE))</f>
        <v/>
      </c>
      <c r="H79" s="32">
        <f>IF(VLOOKUP(B75,PistasHG!$A$6:$T$18,14,FALSE)=0,"",VLOOKUP(B75,PistasHG!$A$6:$T$18,14,FALSE))</f>
        <v>1</v>
      </c>
      <c r="I79" s="32" t="str">
        <f>IF(VLOOKUP(B75,PistasHG!$A$6:$U$18,16,FALSE)=0,"",VLOOKUP(B75,PistasHG!$A$6:$U$18,16,FALSE))</f>
        <v/>
      </c>
    </row>
    <row r="80" spans="1:9" x14ac:dyDescent="0.25">
      <c r="A80" s="23" t="s">
        <v>10</v>
      </c>
      <c r="B80" s="24" t="str">
        <f>UPPER(VLOOKUP(B75,PistasHG!$A$6:$V$18,3,FALSE))</f>
        <v>120</v>
      </c>
      <c r="C80" s="71"/>
      <c r="D80" s="71"/>
      <c r="E80" s="71"/>
      <c r="F80" s="71"/>
      <c r="G80" s="71"/>
      <c r="H80" s="71"/>
      <c r="I80" s="1"/>
    </row>
    <row r="81" spans="1:9" x14ac:dyDescent="0.25">
      <c r="A81" s="23" t="s">
        <v>114</v>
      </c>
      <c r="B81" s="63" t="str">
        <f>(VLOOKUP(B75,PistasHG!$A$6:$V$18,18,FALSE))</f>
        <v>Loaded and Holstered</v>
      </c>
      <c r="C81" s="40"/>
      <c r="D81" s="33"/>
      <c r="E81" s="30"/>
      <c r="F81" s="30"/>
      <c r="G81" s="30"/>
      <c r="H81" s="30"/>
      <c r="I81" s="30"/>
    </row>
    <row r="82" spans="1:9" x14ac:dyDescent="0.25">
      <c r="A82" s="23" t="s">
        <v>12</v>
      </c>
      <c r="B82" s="24" t="str">
        <f>(VLOOKUP(B75,PistasHG!$A$6:$V$18,19,FALSE))</f>
        <v>Standing, facing downrange inside the area</v>
      </c>
      <c r="C82" s="72"/>
      <c r="D82" s="72"/>
      <c r="E82" s="30"/>
      <c r="F82" s="30"/>
      <c r="G82" s="30"/>
      <c r="H82" s="30"/>
      <c r="I82" s="30"/>
    </row>
    <row r="83" spans="1:9" x14ac:dyDescent="0.25">
      <c r="A83" s="23" t="s">
        <v>13</v>
      </c>
      <c r="B83" s="24" t="str">
        <f>VLOOKUP(B75,PistasHG!$A$6:$V$18,20,FALSE)</f>
        <v>Audible</v>
      </c>
      <c r="C83" s="71"/>
      <c r="D83" s="72"/>
      <c r="E83" s="72"/>
      <c r="F83" s="72"/>
      <c r="G83" s="72"/>
      <c r="H83" s="72"/>
      <c r="I83" s="1"/>
    </row>
    <row r="84" spans="1:9" x14ac:dyDescent="0.25">
      <c r="A84" s="23" t="s">
        <v>14</v>
      </c>
      <c r="B84" s="24" t="str">
        <f>(VLOOKUP(B75,PistasHG!$A$6:$V$18,21,FALSE))</f>
        <v>At the start signal, engage targets from within the designated area</v>
      </c>
      <c r="C84" s="71"/>
      <c r="D84" s="72"/>
      <c r="E84" s="72"/>
      <c r="F84" s="72"/>
      <c r="G84" s="72"/>
      <c r="H84" s="72"/>
      <c r="I84" s="1"/>
    </row>
    <row r="85" spans="1:9" x14ac:dyDescent="0.25">
      <c r="A85" s="23" t="s">
        <v>55</v>
      </c>
      <c r="B85" s="24">
        <f>(VLOOKUP(B75,PistasHG!$A$6:$V$18,22,FALSE))</f>
        <v>0</v>
      </c>
      <c r="C85" s="56"/>
      <c r="D85" s="55"/>
      <c r="E85" s="55"/>
      <c r="F85" s="55"/>
      <c r="G85" s="55"/>
      <c r="H85" s="55"/>
      <c r="I85" s="1"/>
    </row>
    <row r="86" spans="1:9" x14ac:dyDescent="0.25">
      <c r="A86" s="43"/>
      <c r="B86" s="44"/>
      <c r="C86" s="20"/>
      <c r="D86" s="30"/>
      <c r="E86" s="30"/>
      <c r="F86" s="30"/>
      <c r="G86" s="30"/>
      <c r="H86" s="30"/>
      <c r="I86" s="30"/>
    </row>
    <row r="87" spans="1:9" x14ac:dyDescent="0.25">
      <c r="A87" s="64" t="s">
        <v>28</v>
      </c>
      <c r="B87" s="22">
        <v>8</v>
      </c>
      <c r="C87" s="40"/>
      <c r="D87" s="30"/>
      <c r="E87" s="30"/>
      <c r="F87" s="30"/>
      <c r="G87" s="30"/>
      <c r="H87" s="30"/>
      <c r="I87" s="30"/>
    </row>
    <row r="88" spans="1:9" x14ac:dyDescent="0.25">
      <c r="A88" s="64"/>
      <c r="B88" s="22"/>
      <c r="C88" s="62"/>
      <c r="D88" s="30"/>
      <c r="E88" s="30"/>
      <c r="F88" s="30"/>
      <c r="G88" s="30"/>
      <c r="H88" s="30"/>
      <c r="I88" s="30"/>
    </row>
    <row r="89" spans="1:9" x14ac:dyDescent="0.25">
      <c r="A89" s="23" t="s">
        <v>6</v>
      </c>
      <c r="B89" s="24" t="str">
        <f>UPPER(VLOOKUP(B87,PistasHG!$A$6:$V$18,17,FALSE))</f>
        <v>MEDIUM</v>
      </c>
      <c r="C89" s="21"/>
      <c r="D89" s="42"/>
      <c r="E89" s="42"/>
      <c r="F89" s="42"/>
      <c r="G89" s="42"/>
      <c r="H89" s="42"/>
      <c r="I89" s="42"/>
    </row>
    <row r="90" spans="1:9" x14ac:dyDescent="0.25">
      <c r="A90" s="23" t="s">
        <v>7</v>
      </c>
      <c r="B90" s="24" t="str">
        <f>UPPER(D90&amp;E90&amp;F90&amp;G90&amp;H90&amp;I90)</f>
        <v xml:space="preserve">10 IPSC TARGET; 3 IPSC POPPER; </v>
      </c>
      <c r="C90" s="19"/>
      <c r="D90" s="31" t="str">
        <f>IF(D91&lt;&gt;"",D91&amp; " IPSC TARGET; ","")</f>
        <v xml:space="preserve">10 IPSC TARGET; </v>
      </c>
      <c r="E90" s="31" t="str">
        <f>IF(E91&lt;&gt;"",E91&amp;" IPSC A4 Target; ","")</f>
        <v/>
      </c>
      <c r="F90" s="31" t="str">
        <f>IF(F91&lt;&gt;"",F91&amp;" IPSC Popper; ","")</f>
        <v xml:space="preserve">3 IPSC Popper; </v>
      </c>
      <c r="G90" s="31" t="str">
        <f>IF(G91&lt;&gt;"",G91&amp;" IPSC Mini Popper; ","")</f>
        <v/>
      </c>
      <c r="H90" s="31" t="str">
        <f>IF(H91&lt;&gt;"",H91&amp;" IPSC Metal Plates ; ","")</f>
        <v/>
      </c>
      <c r="I90" s="31" t="str">
        <f>IF(I91&lt;&gt;"",I91&amp;" Clay; ","")</f>
        <v/>
      </c>
    </row>
    <row r="91" spans="1:9" x14ac:dyDescent="0.25">
      <c r="A91" s="23" t="s">
        <v>125</v>
      </c>
      <c r="B91" s="24" t="str">
        <f>UPPER(VLOOKUP(B87,PistasHG!$A$6:$V$18,4,FALSE))</f>
        <v>23</v>
      </c>
      <c r="C91" s="26"/>
      <c r="D91" s="32">
        <f>IF(VLOOKUP(B87,PistasHG!$A$6:$U$18,6,FALSE)=0,"",VLOOKUP(B87,PistasHG!$A$6:$U$18,6,FALSE))</f>
        <v>10</v>
      </c>
      <c r="E91" s="32" t="str">
        <f>IF(VLOOKUP(B87,PistasHG!$A$6:$U$18,8,FALSE)=0,"",VLOOKUP(B87,PistasHG!$A$6:$U$18,8,FALSE))</f>
        <v/>
      </c>
      <c r="F91" s="32">
        <f>IF(VLOOKUP(B87,PistasHG!$A$6:$U$18,10,FALSE)=0,"",VLOOKUP(B87,PistasHG!$A$6:$U$18,10,FALSE))</f>
        <v>3</v>
      </c>
      <c r="G91" s="32" t="str">
        <f>IF(VLOOKUP(B87,PistasHG!$A$6:$U$18,12,FALSE)=0,"",VLOOKUP(B87,PistasHG!$A$6:$U$18,12,FALSE))</f>
        <v/>
      </c>
      <c r="H91" s="32" t="str">
        <f>IF(VLOOKUP(B87,PistasHG!$A$6:$T$18,14,FALSE)=0,"",VLOOKUP(B87,PistasHG!$A$6:$T$18,14,FALSE))</f>
        <v/>
      </c>
      <c r="I91" s="32" t="str">
        <f>IF(VLOOKUP(B87,PistasHG!$A$6:$U$18,16,FALSE)=0,"",VLOOKUP(B87,PistasHG!$A$6:$U$18,16,FALSE))</f>
        <v/>
      </c>
    </row>
    <row r="92" spans="1:9" x14ac:dyDescent="0.25">
      <c r="A92" s="23" t="s">
        <v>10</v>
      </c>
      <c r="B92" s="24" t="str">
        <f>UPPER(VLOOKUP(B87,PistasHG!$A$6:$V$18,3,FALSE))</f>
        <v>115</v>
      </c>
      <c r="C92" s="71"/>
      <c r="D92" s="71"/>
      <c r="E92" s="71"/>
      <c r="F92" s="71"/>
      <c r="G92" s="71"/>
      <c r="H92" s="71"/>
      <c r="I92" s="1"/>
    </row>
    <row r="93" spans="1:9" x14ac:dyDescent="0.25">
      <c r="A93" s="23" t="s">
        <v>114</v>
      </c>
      <c r="B93" s="63" t="str">
        <f>(VLOOKUP(B87,PistasHG!$A$6:$V$18,18,FALSE))</f>
        <v>Loaded and Holstered</v>
      </c>
      <c r="C93" s="40"/>
      <c r="D93" s="33"/>
      <c r="E93" s="30"/>
      <c r="F93" s="30"/>
      <c r="G93" s="30"/>
      <c r="H93" s="30"/>
      <c r="I93" s="30"/>
    </row>
    <row r="94" spans="1:9" x14ac:dyDescent="0.25">
      <c r="A94" s="23" t="s">
        <v>12</v>
      </c>
      <c r="B94" s="24" t="str">
        <f>(VLOOKUP(B87,PistasHG!$A$6:$V$18,19,FALSE))</f>
        <v>Standing, facing downrange inside the area</v>
      </c>
      <c r="C94" s="72"/>
      <c r="D94" s="72"/>
      <c r="E94" s="30"/>
      <c r="F94" s="30"/>
      <c r="G94" s="30"/>
      <c r="H94" s="30"/>
      <c r="I94" s="30"/>
    </row>
    <row r="95" spans="1:9" x14ac:dyDescent="0.25">
      <c r="A95" s="23" t="s">
        <v>13</v>
      </c>
      <c r="B95" s="24" t="str">
        <f>VLOOKUP(B87,PistasHG!$A$6:$V$18,20,FALSE)</f>
        <v>Audible</v>
      </c>
      <c r="C95" s="71"/>
      <c r="D95" s="72"/>
      <c r="E95" s="72"/>
      <c r="F95" s="72"/>
      <c r="G95" s="72"/>
      <c r="H95" s="72"/>
      <c r="I95" s="1"/>
    </row>
    <row r="96" spans="1:9" ht="31.5" x14ac:dyDescent="0.25">
      <c r="A96" s="23" t="s">
        <v>14</v>
      </c>
      <c r="B96" s="24" t="str">
        <f>(VLOOKUP(B87,PistasHG!$A$6:$V$18,21,FALSE))</f>
        <v>At the start signal, engage targets from within the designated area.  IP1 activates IT2 and IP2 activates IT1.  All moving targets are disapearing targets.</v>
      </c>
      <c r="C96" s="71"/>
      <c r="D96" s="72"/>
      <c r="E96" s="72"/>
      <c r="F96" s="72"/>
      <c r="G96" s="72"/>
      <c r="H96" s="72"/>
      <c r="I96" s="1"/>
    </row>
    <row r="97" spans="1:9" x14ac:dyDescent="0.25">
      <c r="A97" s="23" t="s">
        <v>55</v>
      </c>
      <c r="B97" s="24">
        <f>(VLOOKUP(B87,PistasHG!$A$6:$V$18,22,FALSE))</f>
        <v>0</v>
      </c>
      <c r="C97" s="56"/>
      <c r="D97" s="55"/>
      <c r="E97" s="55"/>
      <c r="F97" s="55"/>
      <c r="G97" s="55"/>
      <c r="H97" s="55"/>
      <c r="I97" s="1"/>
    </row>
    <row r="98" spans="1:9" x14ac:dyDescent="0.25">
      <c r="A98" s="43"/>
      <c r="B98" s="44"/>
      <c r="C98" s="20"/>
      <c r="D98" s="30"/>
      <c r="E98" s="30"/>
      <c r="F98" s="30"/>
      <c r="G98" s="30"/>
      <c r="H98" s="30"/>
      <c r="I98" s="30"/>
    </row>
    <row r="99" spans="1:9" x14ac:dyDescent="0.25">
      <c r="A99" s="64" t="s">
        <v>28</v>
      </c>
      <c r="B99" s="22">
        <v>9</v>
      </c>
      <c r="C99" s="40"/>
      <c r="D99" s="30"/>
      <c r="E99" s="30"/>
      <c r="F99" s="30"/>
      <c r="G99" s="30"/>
      <c r="H99" s="30"/>
      <c r="I99" s="30"/>
    </row>
    <row r="100" spans="1:9" x14ac:dyDescent="0.25">
      <c r="A100" s="64"/>
      <c r="B100" s="22"/>
      <c r="C100" s="62"/>
      <c r="D100" s="30"/>
      <c r="E100" s="30"/>
      <c r="F100" s="30"/>
      <c r="G100" s="30"/>
      <c r="H100" s="30"/>
      <c r="I100" s="30"/>
    </row>
    <row r="101" spans="1:9" x14ac:dyDescent="0.25">
      <c r="A101" s="23" t="s">
        <v>6</v>
      </c>
      <c r="B101" s="24" t="str">
        <f>UPPER(VLOOKUP(B99,PistasHG!$A$6:$V$18,17,FALSE))</f>
        <v>MEDIUM</v>
      </c>
      <c r="C101" s="21"/>
      <c r="D101" s="42"/>
      <c r="E101" s="42"/>
      <c r="F101" s="42"/>
      <c r="G101" s="42"/>
      <c r="H101" s="42"/>
      <c r="I101" s="42"/>
    </row>
    <row r="102" spans="1:9" x14ac:dyDescent="0.25">
      <c r="A102" s="23" t="s">
        <v>7</v>
      </c>
      <c r="B102" s="24" t="str">
        <f>UPPER(D102&amp;E102&amp;F102&amp;G102&amp;H102&amp;I102)</f>
        <v xml:space="preserve">12 IPSC TARGET; </v>
      </c>
      <c r="C102" s="19"/>
      <c r="D102" s="31" t="str">
        <f>IF(D103&lt;&gt;"",D103&amp; " IPSC TARGET; ","")</f>
        <v xml:space="preserve">12 IPSC TARGET; </v>
      </c>
      <c r="E102" s="31" t="str">
        <f>IF(E103&lt;&gt;"",E103&amp;" IPSC Mini Target/A4; ","")</f>
        <v/>
      </c>
      <c r="F102" s="31" t="str">
        <f>IF(F103&lt;&gt;"",F103&amp;" IPSC Popper; ","")</f>
        <v/>
      </c>
      <c r="G102" s="31" t="str">
        <f>IF(G103&lt;&gt;"",G103&amp;" IPSC Mini Popper; ","")</f>
        <v/>
      </c>
      <c r="H102" s="31" t="str">
        <f>IF(H103&lt;&gt;"",H103&amp;" IPSC Metal Plates ; ","")</f>
        <v/>
      </c>
      <c r="I102" s="31" t="str">
        <f>IF(I103&lt;&gt;"",I103&amp;" Clay; ","")</f>
        <v/>
      </c>
    </row>
    <row r="103" spans="1:9" x14ac:dyDescent="0.25">
      <c r="A103" s="23" t="s">
        <v>125</v>
      </c>
      <c r="B103" s="24" t="str">
        <f>UPPER(VLOOKUP(B99,PistasHG!$A$6:$V$18,4,FALSE))</f>
        <v>24</v>
      </c>
      <c r="C103" s="26"/>
      <c r="D103" s="32">
        <f>IF(VLOOKUP(B99,PistasHG!$A$6:$U$18,6,FALSE)=0,"",VLOOKUP(B99,PistasHG!$A$6:$U$18,6,FALSE))</f>
        <v>12</v>
      </c>
      <c r="E103" s="32" t="str">
        <f>IF(VLOOKUP(B99,PistasHG!$A$6:$U$18,8,FALSE)=0,"",VLOOKUP(B99,PistasHG!$A$6:$U$18,8,FALSE))</f>
        <v/>
      </c>
      <c r="F103" s="32" t="str">
        <f>IF(VLOOKUP(B99,PistasHG!$A$6:$U$18,10,FALSE)=0,"",VLOOKUP(B99,PistasHG!$A$6:$U$18,10,FALSE))</f>
        <v/>
      </c>
      <c r="G103" s="32" t="str">
        <f>IF(VLOOKUP(B99,PistasHG!$A$6:$U$18,12,FALSE)=0,"",VLOOKUP(B99,PistasHG!$A$6:$U$18,12,FALSE))</f>
        <v/>
      </c>
      <c r="H103" s="32" t="str">
        <f>IF(VLOOKUP(B99,PistasHG!$A$6:$T$18,14,FALSE)=0,"",VLOOKUP(B99,PistasHG!$A$6:$T$18,14,FALSE))</f>
        <v/>
      </c>
      <c r="I103" s="32" t="str">
        <f>IF(VLOOKUP(B99,PistasHG!$A$6:$U$18,16,FALSE)=0,"",VLOOKUP(B99,PistasHG!$A$6:$U$18,16,FALSE))</f>
        <v/>
      </c>
    </row>
    <row r="104" spans="1:9" x14ac:dyDescent="0.25">
      <c r="A104" s="23" t="s">
        <v>10</v>
      </c>
      <c r="B104" s="24" t="str">
        <f>UPPER(VLOOKUP(B99,PistasHG!$A$6:$V$18,3,FALSE))</f>
        <v>120</v>
      </c>
      <c r="C104" s="71"/>
      <c r="D104" s="71"/>
      <c r="E104" s="71"/>
      <c r="F104" s="71"/>
      <c r="G104" s="71"/>
      <c r="H104" s="71"/>
      <c r="I104" s="1"/>
    </row>
    <row r="105" spans="1:9" x14ac:dyDescent="0.25">
      <c r="A105" s="23" t="s">
        <v>114</v>
      </c>
      <c r="B105" s="63" t="str">
        <f>(VLOOKUP(B99,PistasHG!$A$6:$V$18,18,FALSE))</f>
        <v>Loaded and Holstered</v>
      </c>
      <c r="C105" s="40"/>
      <c r="D105" s="33"/>
      <c r="E105" s="30"/>
      <c r="F105" s="30"/>
      <c r="G105" s="30"/>
      <c r="H105" s="30"/>
      <c r="I105" s="30"/>
    </row>
    <row r="106" spans="1:9" x14ac:dyDescent="0.25">
      <c r="A106" s="23" t="s">
        <v>12</v>
      </c>
      <c r="B106" s="24" t="str">
        <f>(VLOOKUP(B99,PistasHG!$A$6:$V$18,19,FALSE))</f>
        <v>Standing, facing downrange, heels touching the start line</v>
      </c>
      <c r="C106" s="72"/>
      <c r="D106" s="72"/>
      <c r="E106" s="30"/>
      <c r="F106" s="30"/>
      <c r="G106" s="30"/>
      <c r="H106" s="30"/>
      <c r="I106" s="30"/>
    </row>
    <row r="107" spans="1:9" x14ac:dyDescent="0.25">
      <c r="A107" s="23" t="s">
        <v>13</v>
      </c>
      <c r="B107" s="24" t="str">
        <f>VLOOKUP(B99,PistasHG!$A$6:$V$18,20,FALSE)</f>
        <v>Audible</v>
      </c>
      <c r="C107" s="71"/>
      <c r="D107" s="72"/>
      <c r="E107" s="72"/>
      <c r="F107" s="72"/>
      <c r="G107" s="72"/>
      <c r="H107" s="72"/>
      <c r="I107" s="1"/>
    </row>
    <row r="108" spans="1:9" x14ac:dyDescent="0.25">
      <c r="A108" s="23" t="s">
        <v>14</v>
      </c>
      <c r="B108" s="24" t="str">
        <f>(VLOOKUP(B99,PistasHG!$A$6:$V$18,21,FALSE))</f>
        <v>At the start signal, engage targets from within the designated area</v>
      </c>
      <c r="C108" s="71"/>
      <c r="D108" s="72"/>
      <c r="E108" s="72"/>
      <c r="F108" s="72"/>
      <c r="G108" s="72"/>
      <c r="H108" s="72"/>
      <c r="I108" s="1"/>
    </row>
    <row r="109" spans="1:9" x14ac:dyDescent="0.25">
      <c r="A109" s="23" t="s">
        <v>55</v>
      </c>
      <c r="B109" s="24">
        <f>(VLOOKUP(B99,PistasHG!$A$6:$V$18,22,FALSE))</f>
        <v>0</v>
      </c>
      <c r="C109" s="56"/>
      <c r="D109" s="55"/>
      <c r="E109" s="55"/>
      <c r="F109" s="55"/>
      <c r="G109" s="55"/>
      <c r="H109" s="55"/>
      <c r="I109" s="1"/>
    </row>
    <row r="110" spans="1:9" x14ac:dyDescent="0.25">
      <c r="A110" s="43"/>
      <c r="B110" s="44"/>
      <c r="C110" s="20"/>
      <c r="D110" s="30"/>
      <c r="E110" s="30"/>
      <c r="F110" s="30"/>
      <c r="G110" s="30"/>
      <c r="H110" s="30"/>
      <c r="I110" s="30"/>
    </row>
    <row r="111" spans="1:9" x14ac:dyDescent="0.25">
      <c r="A111" s="64" t="s">
        <v>28</v>
      </c>
      <c r="B111" s="22">
        <v>10</v>
      </c>
      <c r="C111" s="40"/>
      <c r="D111" s="30"/>
      <c r="E111" s="30"/>
      <c r="F111" s="30"/>
      <c r="G111" s="30"/>
      <c r="H111" s="30"/>
      <c r="I111" s="30"/>
    </row>
    <row r="112" spans="1:9" x14ac:dyDescent="0.25">
      <c r="A112" s="64"/>
      <c r="B112" s="22"/>
      <c r="C112" s="62"/>
      <c r="D112" s="30"/>
      <c r="E112" s="30"/>
      <c r="F112" s="30"/>
      <c r="G112" s="30"/>
      <c r="H112" s="30"/>
      <c r="I112" s="30"/>
    </row>
    <row r="113" spans="1:9" x14ac:dyDescent="0.25">
      <c r="A113" s="23" t="s">
        <v>6</v>
      </c>
      <c r="B113" s="24" t="str">
        <f>UPPER(VLOOKUP(B111,PistasHG!$A$6:$V$18,17,FALSE))</f>
        <v>MEDIUM</v>
      </c>
      <c r="C113" s="21"/>
      <c r="D113" s="42"/>
      <c r="E113" s="42"/>
      <c r="F113" s="42"/>
      <c r="G113" s="42"/>
      <c r="H113" s="42"/>
      <c r="I113" s="42"/>
    </row>
    <row r="114" spans="1:9" x14ac:dyDescent="0.25">
      <c r="A114" s="23" t="s">
        <v>7</v>
      </c>
      <c r="B114" s="24" t="str">
        <f>UPPER(D114&amp;E114&amp;F114&amp;G114&amp;H114&amp;I114)</f>
        <v xml:space="preserve">11 IPSC TARGET; 2 IPSC METAL PLATES ; </v>
      </c>
      <c r="C114" s="19"/>
      <c r="D114" s="31" t="str">
        <f>IF(D115&lt;&gt;"",D115&amp; " IPSC TARGET; ","")</f>
        <v xml:space="preserve">11 IPSC TARGET; </v>
      </c>
      <c r="E114" s="31" t="str">
        <f>IF(E115&lt;&gt;"",E115&amp;" IPSC Mini Target/A4; ","")</f>
        <v/>
      </c>
      <c r="F114" s="31" t="str">
        <f>IF(F115&lt;&gt;"",F115&amp;" IPSC Popper; ","")</f>
        <v/>
      </c>
      <c r="G114" s="31" t="str">
        <f>IF(G115&lt;&gt;"",G115&amp;" IPSC Mini Popper; ","")</f>
        <v/>
      </c>
      <c r="H114" s="31" t="str">
        <f>IF(H115&lt;&gt;"",H115&amp;" IPSC Metal Plates ; ","")</f>
        <v xml:space="preserve">2 IPSC Metal Plates ; </v>
      </c>
      <c r="I114" s="31" t="str">
        <f>IF(I115&lt;&gt;"",I115&amp;" Clay; ","")</f>
        <v/>
      </c>
    </row>
    <row r="115" spans="1:9" x14ac:dyDescent="0.25">
      <c r="A115" s="23" t="s">
        <v>125</v>
      </c>
      <c r="B115" s="24" t="str">
        <f>UPPER(VLOOKUP(B111,PistasHG!$A$6:$V$18,4,FALSE))</f>
        <v>24</v>
      </c>
      <c r="C115" s="26"/>
      <c r="D115" s="32">
        <f>IF(VLOOKUP(B111,PistasHG!$A$6:$U$18,6,FALSE)=0,"",VLOOKUP(B111,PistasHG!$A$6:$U$18,6,FALSE))</f>
        <v>11</v>
      </c>
      <c r="E115" s="32" t="str">
        <f>IF(VLOOKUP(B111,PistasHG!$A$6:$U$18,8,FALSE)=0,"",VLOOKUP(B111,PistasHG!$A$6:$U$18,8,FALSE))</f>
        <v/>
      </c>
      <c r="F115" s="32" t="str">
        <f>IF(VLOOKUP(B111,PistasHG!$A$6:$U$18,10,FALSE)=0,"",VLOOKUP(B111,PistasHG!$A$6:$U$18,10,FALSE))</f>
        <v/>
      </c>
      <c r="G115" s="32" t="str">
        <f>IF(VLOOKUP(B111,PistasHG!$A$6:$U$18,12,FALSE)=0,"",VLOOKUP(B111,PistasHG!$A$6:$U$18,12,FALSE))</f>
        <v/>
      </c>
      <c r="H115" s="32">
        <f>IF(VLOOKUP(B111,PistasHG!$A$6:$T$18,14,FALSE)=0,"",VLOOKUP(B111,PistasHG!$A$6:$T$18,14,FALSE))</f>
        <v>2</v>
      </c>
      <c r="I115" s="32" t="str">
        <f>IF(VLOOKUP(B111,PistasHG!$A$6:$U$18,16,FALSE)=0,"",VLOOKUP(B111,PistasHG!$A$6:$U$18,16,FALSE))</f>
        <v/>
      </c>
    </row>
    <row r="116" spans="1:9" x14ac:dyDescent="0.25">
      <c r="A116" s="23" t="s">
        <v>10</v>
      </c>
      <c r="B116" s="24" t="str">
        <f>UPPER(VLOOKUP(B111,PistasHG!$A$6:$V$18,3,FALSE))</f>
        <v>120</v>
      </c>
      <c r="C116" s="71"/>
      <c r="D116" s="71"/>
      <c r="E116" s="71"/>
      <c r="F116" s="71"/>
      <c r="G116" s="71"/>
      <c r="H116" s="71"/>
      <c r="I116" s="1"/>
    </row>
    <row r="117" spans="1:9" x14ac:dyDescent="0.25">
      <c r="A117" s="23" t="s">
        <v>114</v>
      </c>
      <c r="B117" s="63" t="str">
        <f>(VLOOKUP(B111,PistasHG!$A$6:$V$18,18,FALSE))</f>
        <v>Loaded and Holstered</v>
      </c>
      <c r="C117" s="40"/>
      <c r="D117" s="33"/>
      <c r="E117" s="30"/>
      <c r="F117" s="30"/>
      <c r="G117" s="30"/>
      <c r="H117" s="30"/>
      <c r="I117" s="30"/>
    </row>
    <row r="118" spans="1:9" x14ac:dyDescent="0.25">
      <c r="A118" s="23" t="s">
        <v>12</v>
      </c>
      <c r="B118" s="24" t="str">
        <f>(VLOOKUP(B111,PistasHG!$A$6:$V$18,19,FALSE))</f>
        <v>Standing, facing downrange inside the area</v>
      </c>
      <c r="C118" s="72"/>
      <c r="D118" s="72"/>
      <c r="E118" s="30"/>
      <c r="F118" s="30"/>
      <c r="G118" s="30"/>
      <c r="H118" s="30"/>
      <c r="I118" s="30"/>
    </row>
    <row r="119" spans="1:9" x14ac:dyDescent="0.25">
      <c r="A119" s="23" t="s">
        <v>13</v>
      </c>
      <c r="B119" s="24" t="str">
        <f>VLOOKUP(B111,PistasHG!$A$6:$V$18,20,FALSE)</f>
        <v>Audible</v>
      </c>
      <c r="C119" s="71"/>
      <c r="D119" s="72"/>
      <c r="E119" s="72"/>
      <c r="F119" s="72"/>
      <c r="G119" s="72"/>
      <c r="H119" s="72"/>
      <c r="I119" s="1"/>
    </row>
    <row r="120" spans="1:9" x14ac:dyDescent="0.25">
      <c r="A120" s="23" t="s">
        <v>14</v>
      </c>
      <c r="B120" s="24" t="str">
        <f>(VLOOKUP(B111,PistasHG!$A$6:$V$18,21,FALSE))</f>
        <v>At the start signal, engage targets from within the designated area</v>
      </c>
      <c r="C120" s="71"/>
      <c r="D120" s="72"/>
      <c r="E120" s="72"/>
      <c r="F120" s="72"/>
      <c r="G120" s="72"/>
      <c r="H120" s="72"/>
      <c r="I120" s="1"/>
    </row>
    <row r="121" spans="1:9" x14ac:dyDescent="0.25">
      <c r="A121" s="23" t="s">
        <v>55</v>
      </c>
      <c r="B121" s="24">
        <f>(VLOOKUP(B111,PistasHG!$A$6:$V$18,22,FALSE))</f>
        <v>0</v>
      </c>
      <c r="C121" s="56"/>
      <c r="D121" s="55"/>
      <c r="E121" s="55"/>
      <c r="F121" s="55"/>
      <c r="G121" s="55"/>
      <c r="H121" s="55"/>
      <c r="I121" s="1"/>
    </row>
    <row r="122" spans="1:9" x14ac:dyDescent="0.25">
      <c r="A122" s="43"/>
      <c r="B122" s="44"/>
      <c r="C122" s="20"/>
      <c r="D122" s="30"/>
      <c r="E122" s="30"/>
      <c r="F122" s="30"/>
      <c r="G122" s="30"/>
      <c r="H122" s="30"/>
      <c r="I122" s="30"/>
    </row>
    <row r="123" spans="1:9" x14ac:dyDescent="0.25">
      <c r="A123" s="64" t="s">
        <v>28</v>
      </c>
      <c r="B123" s="22">
        <v>11</v>
      </c>
      <c r="C123" s="40"/>
      <c r="D123" s="30"/>
      <c r="E123" s="30"/>
      <c r="F123" s="30"/>
      <c r="G123" s="30"/>
      <c r="H123" s="30"/>
      <c r="I123" s="30"/>
    </row>
    <row r="124" spans="1:9" x14ac:dyDescent="0.25">
      <c r="A124" s="64"/>
      <c r="B124" s="22"/>
      <c r="C124" s="62"/>
      <c r="D124" s="30"/>
      <c r="E124" s="30"/>
      <c r="F124" s="30"/>
      <c r="G124" s="30"/>
      <c r="H124" s="30"/>
      <c r="I124" s="30"/>
    </row>
    <row r="125" spans="1:9" x14ac:dyDescent="0.25">
      <c r="A125" s="23" t="s">
        <v>6</v>
      </c>
      <c r="B125" s="24" t="str">
        <f>UPPER(VLOOKUP(B123,PistasHG!$A$6:$V$18,17,FALSE))</f>
        <v>LONG</v>
      </c>
      <c r="C125" s="21"/>
      <c r="D125" s="42"/>
      <c r="E125" s="42"/>
      <c r="F125" s="42"/>
      <c r="G125" s="42"/>
      <c r="H125" s="42"/>
      <c r="I125" s="42"/>
    </row>
    <row r="126" spans="1:9" x14ac:dyDescent="0.25">
      <c r="A126" s="23" t="s">
        <v>7</v>
      </c>
      <c r="B126" s="24" t="str">
        <f>UPPER(D126&amp;E126&amp;F126&amp;G126&amp;H126&amp;I126)</f>
        <v xml:space="preserve">15 IPSC TARGET; 2 IPSC POPPER; </v>
      </c>
      <c r="C126" s="19"/>
      <c r="D126" s="31" t="str">
        <f>IF(D127&lt;&gt;"",D127&amp; " IPSC TARGET; ","")</f>
        <v xml:space="preserve">15 IPSC TARGET; </v>
      </c>
      <c r="E126" s="31" t="str">
        <f>IF(E127&lt;&gt;"",E127&amp;" IPSC Mini Target/A4; ","")</f>
        <v/>
      </c>
      <c r="F126" s="31" t="str">
        <f>IF(F127&lt;&gt;"",F127&amp;" IPSC Popper; ","")</f>
        <v xml:space="preserve">2 IPSC Popper; </v>
      </c>
      <c r="G126" s="31" t="str">
        <f>IF(G127&lt;&gt;"",G127&amp;" IPSC Mini Popper; ","")</f>
        <v/>
      </c>
      <c r="H126" s="31" t="str">
        <f>IF(H127&lt;&gt;"",H127&amp;" IPSC Metal Plates ; ","")</f>
        <v/>
      </c>
      <c r="I126" s="31" t="str">
        <f>IF(I127&lt;&gt;"",I127&amp;" Clay; ","")</f>
        <v/>
      </c>
    </row>
    <row r="127" spans="1:9" x14ac:dyDescent="0.25">
      <c r="A127" s="23" t="s">
        <v>125</v>
      </c>
      <c r="B127" s="24" t="str">
        <f>UPPER(VLOOKUP(B123,PistasHG!$A$6:$V$18,4,FALSE))</f>
        <v>32</v>
      </c>
      <c r="C127" s="26"/>
      <c r="D127" s="32">
        <f>IF(VLOOKUP(B123,PistasHG!$A$6:$U$18,6,FALSE)=0,"",VLOOKUP(B123,PistasHG!$A$6:$U$18,6,FALSE))</f>
        <v>15</v>
      </c>
      <c r="E127" s="32" t="str">
        <f>IF(VLOOKUP(B123,PistasHG!$A$6:$U$18,8,FALSE)=0,"",VLOOKUP(B123,PistasHG!$A$6:$U$18,8,FALSE))</f>
        <v/>
      </c>
      <c r="F127" s="32">
        <f>IF(VLOOKUP(B123,PistasHG!$A$6:$U$18,10,FALSE)=0,"",VLOOKUP(B123,PistasHG!$A$6:$U$18,10,FALSE))</f>
        <v>2</v>
      </c>
      <c r="G127" s="32" t="str">
        <f>IF(VLOOKUP(B123,PistasHG!$A$6:$U$18,12,FALSE)=0,"",VLOOKUP(B123,PistasHG!$A$6:$U$18,12,FALSE))</f>
        <v/>
      </c>
      <c r="H127" s="32" t="str">
        <f>IF(VLOOKUP(B123,PistasHG!$A$6:$T$18,14,FALSE)=0,"",VLOOKUP(B123,PistasHG!$A$6:$T$18,14,FALSE))</f>
        <v/>
      </c>
      <c r="I127" s="32" t="str">
        <f>IF(VLOOKUP(B123,PistasHG!$A$6:$U$18,16,FALSE)=0,"",VLOOKUP(B123,PistasHG!$A$6:$U$18,16,FALSE))</f>
        <v/>
      </c>
    </row>
    <row r="128" spans="1:9" x14ac:dyDescent="0.25">
      <c r="A128" s="23" t="s">
        <v>10</v>
      </c>
      <c r="B128" s="24" t="str">
        <f>UPPER(VLOOKUP(B123,PistasHG!$A$6:$V$18,3,FALSE))</f>
        <v>160</v>
      </c>
      <c r="C128" s="71"/>
      <c r="D128" s="71"/>
      <c r="E128" s="71"/>
      <c r="F128" s="71"/>
      <c r="G128" s="71"/>
      <c r="H128" s="71"/>
      <c r="I128" s="1"/>
    </row>
    <row r="129" spans="1:9" x14ac:dyDescent="0.25">
      <c r="A129" s="23" t="s">
        <v>114</v>
      </c>
      <c r="B129" s="63" t="str">
        <f>(VLOOKUP(B123,PistasHG!$A$6:$V$18,18,FALSE))</f>
        <v>Loaded and Holstered</v>
      </c>
      <c r="C129" s="40"/>
      <c r="D129" s="33"/>
      <c r="E129" s="30"/>
      <c r="F129" s="30"/>
      <c r="G129" s="30"/>
      <c r="H129" s="30"/>
      <c r="I129" s="30"/>
    </row>
    <row r="130" spans="1:9" x14ac:dyDescent="0.25">
      <c r="A130" s="23" t="s">
        <v>12</v>
      </c>
      <c r="B130" s="24" t="str">
        <f>(VLOOKUP(B123,PistasHG!$A$6:$V$18,19,FALSE))</f>
        <v>Standing, facing downrange inside the area</v>
      </c>
      <c r="C130" s="72"/>
      <c r="D130" s="72"/>
      <c r="E130" s="30"/>
      <c r="F130" s="30"/>
      <c r="G130" s="30"/>
      <c r="H130" s="30"/>
      <c r="I130" s="30"/>
    </row>
    <row r="131" spans="1:9" x14ac:dyDescent="0.25">
      <c r="A131" s="23" t="s">
        <v>13</v>
      </c>
      <c r="B131" s="24" t="str">
        <f>VLOOKUP(B123,PistasHG!$A$6:$V$18,20,FALSE)</f>
        <v>Audible</v>
      </c>
      <c r="C131" s="71"/>
      <c r="D131" s="72"/>
      <c r="E131" s="72"/>
      <c r="F131" s="72"/>
      <c r="G131" s="72"/>
      <c r="H131" s="72"/>
      <c r="I131" s="1"/>
    </row>
    <row r="132" spans="1:9" x14ac:dyDescent="0.25">
      <c r="A132" s="23" t="s">
        <v>14</v>
      </c>
      <c r="B132" s="24" t="str">
        <f>(VLOOKUP(B123,PistasHG!$A$6:$V$18,21,FALSE))</f>
        <v>At the start signal, engage targets from within the designated area</v>
      </c>
      <c r="C132" s="71"/>
      <c r="D132" s="72"/>
      <c r="E132" s="72"/>
      <c r="F132" s="72"/>
      <c r="G132" s="72"/>
      <c r="H132" s="72"/>
      <c r="I132" s="1"/>
    </row>
    <row r="133" spans="1:9" x14ac:dyDescent="0.25">
      <c r="A133" s="23" t="s">
        <v>55</v>
      </c>
      <c r="B133" s="24">
        <f>(VLOOKUP(B123,PistasHG!$A$6:$V$18,22,FALSE))</f>
        <v>0</v>
      </c>
      <c r="C133" s="56"/>
      <c r="D133" s="55"/>
      <c r="E133" s="55"/>
      <c r="F133" s="55"/>
      <c r="G133" s="55"/>
      <c r="H133" s="55"/>
      <c r="I133" s="1"/>
    </row>
    <row r="134" spans="1:9" x14ac:dyDescent="0.25">
      <c r="A134" s="43"/>
      <c r="B134" s="44"/>
      <c r="C134" s="20"/>
      <c r="D134" s="30"/>
      <c r="E134" s="30"/>
      <c r="F134" s="30"/>
      <c r="G134" s="30"/>
      <c r="H134" s="30"/>
      <c r="I134" s="30"/>
    </row>
    <row r="135" spans="1:9" x14ac:dyDescent="0.25">
      <c r="A135" s="64" t="s">
        <v>28</v>
      </c>
      <c r="B135" s="22">
        <v>12</v>
      </c>
      <c r="C135" s="40"/>
      <c r="D135" s="30"/>
      <c r="E135" s="30"/>
      <c r="F135" s="30"/>
      <c r="G135" s="30"/>
      <c r="H135" s="30"/>
      <c r="I135" s="30"/>
    </row>
    <row r="136" spans="1:9" x14ac:dyDescent="0.25">
      <c r="A136" s="64"/>
      <c r="B136" s="22"/>
      <c r="C136" s="62"/>
      <c r="D136" s="30"/>
      <c r="E136" s="30"/>
      <c r="F136" s="30"/>
      <c r="G136" s="30"/>
      <c r="H136" s="30"/>
      <c r="I136" s="30"/>
    </row>
    <row r="137" spans="1:9" x14ac:dyDescent="0.25">
      <c r="A137" s="23" t="s">
        <v>6</v>
      </c>
      <c r="B137" s="24" t="str">
        <f>UPPER(VLOOKUP(B135,PistasHG!$A$6:$V$18,17,FALSE))</f>
        <v>LONG</v>
      </c>
      <c r="C137" s="21"/>
      <c r="D137" s="42"/>
      <c r="E137" s="42"/>
      <c r="F137" s="42"/>
      <c r="G137" s="42"/>
      <c r="H137" s="42"/>
      <c r="I137" s="42"/>
    </row>
    <row r="138" spans="1:9" x14ac:dyDescent="0.25">
      <c r="A138" s="23" t="s">
        <v>7</v>
      </c>
      <c r="B138" s="24" t="str">
        <f>UPPER(D138&amp;E138&amp;F138&amp;G138&amp;H138&amp;I138)</f>
        <v xml:space="preserve">13 IPSC TARGET; 3 IPSC POPPER; 3 IPSC METAL PLATES ; </v>
      </c>
      <c r="C138" s="19"/>
      <c r="D138" s="31" t="str">
        <f>IF(D139&lt;&gt;"",D139&amp; " IPSC TARGET; ","")</f>
        <v xml:space="preserve">13 IPSC TARGET; </v>
      </c>
      <c r="E138" s="31" t="str">
        <f>IF(E139&lt;&gt;"",E139&amp;" IPSC Mini Target; ","")</f>
        <v/>
      </c>
      <c r="F138" s="31" t="str">
        <f>IF(F139&lt;&gt;"",F139&amp;" IPSC Popper; ","")</f>
        <v xml:space="preserve">3 IPSC Popper; </v>
      </c>
      <c r="G138" s="31" t="str">
        <f>IF(G139&lt;&gt;"",G139&amp;" IPSC Mini Popper; ","")</f>
        <v/>
      </c>
      <c r="H138" s="31" t="str">
        <f>IF(H139&lt;&gt;"",H139&amp;" IPSC Metal Plates ; ","")</f>
        <v xml:space="preserve">3 IPSC Metal Plates ; </v>
      </c>
      <c r="I138" s="31" t="str">
        <f>IF(I139&lt;&gt;"",I139&amp;" Clay; ","")</f>
        <v/>
      </c>
    </row>
    <row r="139" spans="1:9" x14ac:dyDescent="0.25">
      <c r="A139" s="23" t="s">
        <v>125</v>
      </c>
      <c r="B139" s="24" t="str">
        <f>UPPER(VLOOKUP(B135,PistasHG!$A$6:$V$18,4,FALSE))</f>
        <v>32</v>
      </c>
      <c r="C139" s="26"/>
      <c r="D139" s="32">
        <f>IF(VLOOKUP(B135,PistasHG!$A$6:$U$18,6,FALSE)=0,"",VLOOKUP(B135,PistasHG!$A$6:$U$18,6,FALSE))</f>
        <v>13</v>
      </c>
      <c r="E139" s="32" t="str">
        <f>IF(VLOOKUP(B135,PistasHG!$A$6:$U$18,8,FALSE)=0,"",VLOOKUP(B135,PistasHG!$A$6:$U$18,8,FALSE))</f>
        <v/>
      </c>
      <c r="F139" s="32">
        <f>IF(VLOOKUP(B135,PistasHG!$A$6:$U$18,10,FALSE)=0,"",VLOOKUP(B135,PistasHG!$A$6:$U$18,10,FALSE))</f>
        <v>3</v>
      </c>
      <c r="G139" s="32" t="str">
        <f>IF(VLOOKUP(B135,PistasHG!$A$6:$U$18,12,FALSE)=0,"",VLOOKUP(B135,PistasHG!$A$6:$U$18,12,FALSE))</f>
        <v/>
      </c>
      <c r="H139" s="32">
        <f>IF(VLOOKUP(B135,PistasHG!$A$6:$T$18,14,FALSE)=0,"",VLOOKUP(B135,PistasHG!$A$6:$T$18,14,FALSE))</f>
        <v>3</v>
      </c>
      <c r="I139" s="32" t="str">
        <f>IF(VLOOKUP(B135,PistasHG!$A$6:$U$18,16,FALSE)=0,"",VLOOKUP(B135,PistasHG!$A$6:$U$18,16,FALSE))</f>
        <v/>
      </c>
    </row>
    <row r="140" spans="1:9" x14ac:dyDescent="0.25">
      <c r="A140" s="23" t="s">
        <v>10</v>
      </c>
      <c r="B140" s="24" t="str">
        <f>UPPER(VLOOKUP(B135,PistasHG!$A$6:$V$18,3,FALSE))</f>
        <v>160</v>
      </c>
      <c r="C140" s="71"/>
      <c r="D140" s="71"/>
      <c r="E140" s="71"/>
      <c r="F140" s="71"/>
      <c r="G140" s="71"/>
      <c r="H140" s="71"/>
      <c r="I140" s="1"/>
    </row>
    <row r="141" spans="1:9" x14ac:dyDescent="0.25">
      <c r="A141" s="23" t="s">
        <v>114</v>
      </c>
      <c r="B141" s="63" t="str">
        <f>(VLOOKUP(B135,PistasHG!$A$6:$V$18,18,FALSE))</f>
        <v>Loaded and Holstered</v>
      </c>
      <c r="C141" s="40"/>
      <c r="D141" s="33"/>
      <c r="E141" s="30"/>
      <c r="F141" s="30"/>
      <c r="G141" s="30"/>
      <c r="H141" s="30"/>
      <c r="I141" s="30"/>
    </row>
    <row r="142" spans="1:9" x14ac:dyDescent="0.25">
      <c r="A142" s="23" t="s">
        <v>12</v>
      </c>
      <c r="B142" s="24" t="str">
        <f>(VLOOKUP(B135,PistasHG!$A$6:$V$18,19,FALSE))</f>
        <v>Standing, facing downrange, heels touching the start line</v>
      </c>
      <c r="C142" s="72"/>
      <c r="D142" s="72"/>
      <c r="E142" s="30"/>
      <c r="F142" s="30"/>
      <c r="G142" s="30"/>
      <c r="H142" s="30"/>
      <c r="I142" s="30"/>
    </row>
    <row r="143" spans="1:9" x14ac:dyDescent="0.25">
      <c r="A143" s="23" t="s">
        <v>13</v>
      </c>
      <c r="B143" s="24" t="str">
        <f>VLOOKUP(B135,PistasHG!$A$6:$V$18,20,FALSE)</f>
        <v>Audible</v>
      </c>
      <c r="C143" s="71"/>
      <c r="D143" s="72"/>
      <c r="E143" s="72"/>
      <c r="F143" s="72"/>
      <c r="G143" s="72"/>
      <c r="H143" s="72"/>
      <c r="I143" s="1"/>
    </row>
    <row r="144" spans="1:9" x14ac:dyDescent="0.25">
      <c r="A144" s="23" t="s">
        <v>14</v>
      </c>
      <c r="B144" s="24" t="str">
        <f>(VLOOKUP(B135,PistasHG!$A$6:$V$18,21,FALSE))</f>
        <v>At the start signal, engage targets from within the designated area</v>
      </c>
      <c r="C144" s="71"/>
      <c r="D144" s="72"/>
      <c r="E144" s="72"/>
      <c r="F144" s="72"/>
      <c r="G144" s="72"/>
      <c r="H144" s="72"/>
      <c r="I144" s="1"/>
    </row>
    <row r="145" spans="1:9" x14ac:dyDescent="0.25">
      <c r="A145" s="23" t="s">
        <v>55</v>
      </c>
      <c r="B145" s="24">
        <f>(VLOOKUP(B135,PistasHG!$A$6:$V$18,22,FALSE))</f>
        <v>0</v>
      </c>
      <c r="C145" s="56"/>
      <c r="D145" s="55"/>
      <c r="E145" s="55"/>
      <c r="F145" s="55"/>
      <c r="G145" s="55"/>
      <c r="H145" s="55"/>
      <c r="I145" s="1"/>
    </row>
    <row r="146" spans="1:9" x14ac:dyDescent="0.25">
      <c r="A146" s="43"/>
      <c r="B146" s="44"/>
      <c r="C146" s="20"/>
      <c r="D146" s="30"/>
      <c r="E146" s="30"/>
      <c r="F146" s="30"/>
      <c r="G146" s="30"/>
      <c r="H146" s="30"/>
      <c r="I146" s="30"/>
    </row>
  </sheetData>
  <mergeCells count="49">
    <mergeCell ref="C10:D10"/>
    <mergeCell ref="C12:H12"/>
    <mergeCell ref="C11:H11"/>
    <mergeCell ref="C8:H8"/>
    <mergeCell ref="A1:D1"/>
    <mergeCell ref="C20:H20"/>
    <mergeCell ref="C22:D22"/>
    <mergeCell ref="C23:H23"/>
    <mergeCell ref="C24:H24"/>
    <mergeCell ref="C32:H32"/>
    <mergeCell ref="C34:D34"/>
    <mergeCell ref="C35:H35"/>
    <mergeCell ref="C36:H36"/>
    <mergeCell ref="C44:H44"/>
    <mergeCell ref="C46:D46"/>
    <mergeCell ref="C47:H47"/>
    <mergeCell ref="C48:H48"/>
    <mergeCell ref="C56:H56"/>
    <mergeCell ref="C58:D58"/>
    <mergeCell ref="C59:H59"/>
    <mergeCell ref="C60:H60"/>
    <mergeCell ref="C68:H68"/>
    <mergeCell ref="C70:D70"/>
    <mergeCell ref="C71:H71"/>
    <mergeCell ref="C72:H72"/>
    <mergeCell ref="C80:H80"/>
    <mergeCell ref="C82:D82"/>
    <mergeCell ref="C83:H83"/>
    <mergeCell ref="C84:H84"/>
    <mergeCell ref="C92:H92"/>
    <mergeCell ref="C94:D94"/>
    <mergeCell ref="C95:H95"/>
    <mergeCell ref="C96:H96"/>
    <mergeCell ref="C104:H104"/>
    <mergeCell ref="C106:D106"/>
    <mergeCell ref="C107:H107"/>
    <mergeCell ref="C108:H108"/>
    <mergeCell ref="C116:H116"/>
    <mergeCell ref="C118:D118"/>
    <mergeCell ref="C119:H119"/>
    <mergeCell ref="C140:H140"/>
    <mergeCell ref="C142:D142"/>
    <mergeCell ref="C143:H143"/>
    <mergeCell ref="C144:H144"/>
    <mergeCell ref="C120:H120"/>
    <mergeCell ref="C128:H128"/>
    <mergeCell ref="C130:D130"/>
    <mergeCell ref="C131:H131"/>
    <mergeCell ref="C132:H132"/>
  </mergeCells>
  <pageMargins left="0.28000000000000003" right="0.2" top="0.21" bottom="0.27" header="0.16" footer="0.12"/>
  <pageSetup paperSize="9"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50" zoomScaleNormal="50" workbookViewId="0">
      <pane xSplit="1" ySplit="6" topLeftCell="B9" activePane="bottomRight" state="frozen"/>
      <selection activeCell="O24" sqref="O24"/>
      <selection pane="topRight" activeCell="O24" sqref="O24"/>
      <selection pane="bottomLeft" activeCell="O24" sqref="O24"/>
      <selection pane="bottomRight" activeCell="C11" sqref="C11"/>
    </sheetView>
  </sheetViews>
  <sheetFormatPr defaultColWidth="9.140625" defaultRowHeight="21" x14ac:dyDescent="0.25"/>
  <cols>
    <col min="1" max="1" width="29.140625" style="3" customWidth="1"/>
    <col min="2" max="2" width="5.5703125" style="3" customWidth="1"/>
    <col min="3" max="3" width="10.7109375" style="3" customWidth="1"/>
    <col min="4" max="4" width="7.42578125" style="3" customWidth="1"/>
    <col min="5" max="5" width="15.5703125" style="3" customWidth="1"/>
    <col min="6" max="9" width="12" style="3" customWidth="1"/>
    <col min="10" max="10" width="12" style="1" customWidth="1"/>
    <col min="11" max="11" width="12" style="3" customWidth="1"/>
    <col min="12" max="12" width="12" style="1" customWidth="1"/>
    <col min="13" max="13" width="12" style="3" customWidth="1"/>
    <col min="14" max="14" width="12" style="1" customWidth="1"/>
    <col min="15" max="15" width="12" style="3" customWidth="1"/>
    <col min="16" max="16" width="9.5703125" style="1" customWidth="1"/>
    <col min="17" max="17" width="13.85546875" style="48" bestFit="1" customWidth="1"/>
    <col min="18" max="18" width="15.5703125" style="3" customWidth="1"/>
    <col min="19" max="19" width="57.5703125" style="1" customWidth="1"/>
    <col min="20" max="20" width="13.140625" style="3" customWidth="1"/>
    <col min="21" max="21" width="60.140625" style="3" customWidth="1"/>
    <col min="22" max="22" width="28.42578125" style="1" customWidth="1"/>
    <col min="23" max="16384" width="9.140625" style="3"/>
  </cols>
  <sheetData>
    <row r="1" spans="1:22" s="2" customFormat="1" ht="24.75" customHeight="1" x14ac:dyDescent="0.25">
      <c r="A1" s="27" t="s">
        <v>36</v>
      </c>
      <c r="B1" s="76">
        <v>2</v>
      </c>
      <c r="C1" s="76"/>
      <c r="D1" s="76"/>
      <c r="E1" s="76"/>
      <c r="Q1" s="48"/>
    </row>
    <row r="2" spans="1:22" s="2" customFormat="1" ht="24.75" customHeight="1" x14ac:dyDescent="0.25">
      <c r="A2" s="27" t="s">
        <v>37</v>
      </c>
      <c r="B2" s="77">
        <v>41839</v>
      </c>
      <c r="C2" s="77"/>
      <c r="D2" s="77"/>
      <c r="E2" s="77"/>
      <c r="Q2" s="48"/>
      <c r="S2" s="59"/>
      <c r="T2" s="59"/>
      <c r="U2" s="59"/>
      <c r="V2" s="59"/>
    </row>
    <row r="3" spans="1:22" s="2" customFormat="1" ht="24.75" customHeight="1" x14ac:dyDescent="0.25">
      <c r="A3" s="27" t="s">
        <v>38</v>
      </c>
      <c r="B3" s="76" t="s">
        <v>39</v>
      </c>
      <c r="C3" s="76"/>
      <c r="D3" s="76"/>
      <c r="E3" s="76"/>
      <c r="Q3" s="48"/>
      <c r="S3" s="59"/>
      <c r="T3" s="59"/>
      <c r="U3" s="59"/>
      <c r="V3" s="59"/>
    </row>
    <row r="4" spans="1:22" s="2" customFormat="1" ht="24.75" customHeight="1" x14ac:dyDescent="0.25">
      <c r="A4" s="27" t="s">
        <v>47</v>
      </c>
      <c r="B4" s="76"/>
      <c r="C4" s="76"/>
      <c r="D4" s="76"/>
      <c r="E4" s="76"/>
      <c r="Q4" s="48"/>
      <c r="S4" s="59"/>
      <c r="T4" s="59"/>
      <c r="U4" s="59"/>
      <c r="V4" s="59"/>
    </row>
    <row r="5" spans="1:22" s="2" customFormat="1" ht="24.75" customHeight="1" x14ac:dyDescent="0.25">
      <c r="A5" s="27" t="s">
        <v>5</v>
      </c>
      <c r="B5" s="76"/>
      <c r="C5" s="76"/>
      <c r="D5" s="76"/>
      <c r="E5" s="76"/>
      <c r="Q5" s="48"/>
      <c r="S5" s="59"/>
      <c r="T5" s="59"/>
      <c r="U5" s="59"/>
      <c r="V5" s="59"/>
    </row>
    <row r="6" spans="1:22" s="4" customFormat="1" ht="75" x14ac:dyDescent="0.25">
      <c r="A6" s="5" t="s">
        <v>28</v>
      </c>
      <c r="B6" s="5" t="s">
        <v>29</v>
      </c>
      <c r="C6" s="5" t="s">
        <v>30</v>
      </c>
      <c r="D6" s="5" t="s">
        <v>31</v>
      </c>
      <c r="E6" s="5" t="s">
        <v>16</v>
      </c>
      <c r="F6" s="5" t="s">
        <v>32</v>
      </c>
      <c r="G6" s="9" t="str">
        <f>"No_shoot - " &amp;F6</f>
        <v>No_shoot - IPSC Target</v>
      </c>
      <c r="H6" s="5" t="s">
        <v>17</v>
      </c>
      <c r="I6" s="9" t="str">
        <f>"No_shoot - " &amp;H6</f>
        <v>No_shoot - IPSC Mini Target</v>
      </c>
      <c r="J6" s="5" t="s">
        <v>18</v>
      </c>
      <c r="K6" s="9" t="str">
        <f>"No_shoot - " &amp;J6</f>
        <v>No_shoot - IPSC Popper</v>
      </c>
      <c r="L6" s="5" t="s">
        <v>19</v>
      </c>
      <c r="M6" s="9" t="str">
        <f>"No_shoot - " &amp;L6</f>
        <v>No_shoot - IPSC Mini Popper</v>
      </c>
      <c r="N6" s="5" t="s">
        <v>33</v>
      </c>
      <c r="O6" s="9" t="str">
        <f>"No_shoot - " &amp;N6</f>
        <v>No_shoot - Plates</v>
      </c>
      <c r="P6" s="5" t="s">
        <v>48</v>
      </c>
      <c r="Q6" s="50" t="s">
        <v>34</v>
      </c>
      <c r="R6" s="5" t="s">
        <v>20</v>
      </c>
      <c r="S6" s="5" t="s">
        <v>21</v>
      </c>
      <c r="T6" s="5" t="s">
        <v>35</v>
      </c>
      <c r="U6" s="5" t="s">
        <v>14</v>
      </c>
      <c r="V6" s="5" t="s">
        <v>55</v>
      </c>
    </row>
    <row r="7" spans="1:22" s="8" customFormat="1" ht="294" x14ac:dyDescent="0.25">
      <c r="A7" s="38">
        <v>1</v>
      </c>
      <c r="B7" s="38" t="s">
        <v>86</v>
      </c>
      <c r="C7" s="38">
        <f>(F7*10)+(H7*10)+(J7*5)+(L7*5)+(N7*5)+(P7*5)</f>
        <v>50</v>
      </c>
      <c r="D7" s="38">
        <f>((F7*2)+(H7*2)+J7+L7+N7)</f>
        <v>10</v>
      </c>
      <c r="E7" s="38"/>
      <c r="F7" s="36"/>
      <c r="G7" s="34"/>
      <c r="H7" s="36">
        <v>5</v>
      </c>
      <c r="I7" s="34">
        <v>5</v>
      </c>
      <c r="J7" s="36"/>
      <c r="K7" s="34"/>
      <c r="L7" s="36"/>
      <c r="M7" s="34"/>
      <c r="N7" s="36"/>
      <c r="O7" s="34"/>
      <c r="P7" s="35"/>
      <c r="Q7" s="45" t="str">
        <f>IF(D7=0,"",IF(D7&lt;=10,"Short/Curta",IF(D7&lt;=20,"Medium/Média",IF(D7&lt;=40,"Long/Longa"))))</f>
        <v>Short/Curta</v>
      </c>
      <c r="R7" s="47" t="s">
        <v>51</v>
      </c>
      <c r="S7" s="49" t="s">
        <v>95</v>
      </c>
      <c r="T7" s="49" t="s">
        <v>88</v>
      </c>
      <c r="U7" s="47" t="s">
        <v>96</v>
      </c>
      <c r="V7" s="49" t="s">
        <v>106</v>
      </c>
    </row>
    <row r="8" spans="1:22" s="8" customFormat="1" ht="231" customHeight="1" x14ac:dyDescent="0.25">
      <c r="A8" s="39">
        <v>2</v>
      </c>
      <c r="B8" s="38" t="s">
        <v>86</v>
      </c>
      <c r="C8" s="38">
        <f t="shared" ref="C8:C18" si="0">(F8*10)+(H8*10)+(J8*5)+(L8*5)+(N8*5)+(P8*5)</f>
        <v>100</v>
      </c>
      <c r="D8" s="39">
        <f t="shared" ref="D8:D12" si="1">(F8*2)+(H8*2)+J8+L8+N8</f>
        <v>20</v>
      </c>
      <c r="E8" s="39"/>
      <c r="F8" s="37"/>
      <c r="G8" s="34"/>
      <c r="H8" s="37">
        <v>10</v>
      </c>
      <c r="I8" s="34">
        <v>6</v>
      </c>
      <c r="J8" s="37"/>
      <c r="K8" s="34"/>
      <c r="L8" s="37"/>
      <c r="M8" s="34"/>
      <c r="N8" s="37"/>
      <c r="O8" s="34"/>
      <c r="P8" s="35"/>
      <c r="Q8" s="45" t="str">
        <f t="shared" ref="Q8:Q18" si="2">IF(D8=0,"",IF(D8&lt;=10,"Short/Curta",IF(D8&lt;=20,"Medium/Média",IF(D8&lt;=40,"Long/Longa"))))</f>
        <v>Medium/Média</v>
      </c>
      <c r="R8" s="49" t="s">
        <v>52</v>
      </c>
      <c r="S8" s="49" t="s">
        <v>97</v>
      </c>
      <c r="T8" s="49" t="s">
        <v>88</v>
      </c>
      <c r="U8" s="47" t="s">
        <v>91</v>
      </c>
      <c r="V8" s="47" t="s">
        <v>107</v>
      </c>
    </row>
    <row r="9" spans="1:22" s="8" customFormat="1" ht="252" x14ac:dyDescent="0.25">
      <c r="A9" s="38">
        <v>3</v>
      </c>
      <c r="B9" s="38" t="s">
        <v>86</v>
      </c>
      <c r="C9" s="38">
        <f t="shared" si="0"/>
        <v>35</v>
      </c>
      <c r="D9" s="38">
        <f t="shared" si="1"/>
        <v>7</v>
      </c>
      <c r="E9" s="38"/>
      <c r="F9" s="36"/>
      <c r="G9" s="34"/>
      <c r="H9" s="36"/>
      <c r="I9" s="34"/>
      <c r="J9" s="36">
        <v>3</v>
      </c>
      <c r="K9" s="34"/>
      <c r="L9" s="36"/>
      <c r="M9" s="34"/>
      <c r="N9" s="36">
        <v>4</v>
      </c>
      <c r="O9" s="34"/>
      <c r="P9" s="35"/>
      <c r="Q9" s="45" t="str">
        <f t="shared" si="2"/>
        <v>Short/Curta</v>
      </c>
      <c r="R9" s="49" t="s">
        <v>54</v>
      </c>
      <c r="S9" s="49" t="s">
        <v>98</v>
      </c>
      <c r="T9" s="49" t="s">
        <v>88</v>
      </c>
      <c r="U9" s="47" t="s">
        <v>92</v>
      </c>
      <c r="V9" s="7" t="s">
        <v>107</v>
      </c>
    </row>
    <row r="10" spans="1:22" s="8" customFormat="1" ht="105" x14ac:dyDescent="0.25">
      <c r="A10" s="39">
        <v>4</v>
      </c>
      <c r="B10" s="38" t="s">
        <v>86</v>
      </c>
      <c r="C10" s="38">
        <f t="shared" si="0"/>
        <v>100</v>
      </c>
      <c r="D10" s="39">
        <f t="shared" si="1"/>
        <v>20</v>
      </c>
      <c r="E10" s="39"/>
      <c r="F10" s="37">
        <v>10</v>
      </c>
      <c r="G10" s="34"/>
      <c r="H10" s="37"/>
      <c r="I10" s="34"/>
      <c r="J10" s="37"/>
      <c r="K10" s="34"/>
      <c r="L10" s="37"/>
      <c r="M10" s="34"/>
      <c r="N10" s="37"/>
      <c r="O10" s="34"/>
      <c r="P10" s="35"/>
      <c r="Q10" s="45" t="str">
        <f t="shared" si="2"/>
        <v>Medium/Média</v>
      </c>
      <c r="R10" s="47" t="s">
        <v>51</v>
      </c>
      <c r="S10" s="47" t="s">
        <v>89</v>
      </c>
      <c r="T10" s="49" t="s">
        <v>88</v>
      </c>
      <c r="U10" s="47" t="s">
        <v>91</v>
      </c>
      <c r="V10" s="7" t="s">
        <v>107</v>
      </c>
    </row>
    <row r="11" spans="1:22" s="8" customFormat="1" ht="231" customHeight="1" x14ac:dyDescent="0.25">
      <c r="A11" s="38">
        <v>5</v>
      </c>
      <c r="B11" s="38" t="s">
        <v>86</v>
      </c>
      <c r="C11" s="38">
        <f t="shared" si="0"/>
        <v>170</v>
      </c>
      <c r="D11" s="38">
        <f t="shared" si="1"/>
        <v>34</v>
      </c>
      <c r="E11" s="38"/>
      <c r="F11" s="36">
        <v>10</v>
      </c>
      <c r="G11" s="34">
        <v>6</v>
      </c>
      <c r="H11" s="36">
        <v>7</v>
      </c>
      <c r="I11" s="34"/>
      <c r="J11" s="36"/>
      <c r="K11" s="34"/>
      <c r="L11" s="36"/>
      <c r="M11" s="34"/>
      <c r="N11" s="36"/>
      <c r="O11" s="34"/>
      <c r="P11" s="35"/>
      <c r="Q11" s="45" t="str">
        <f t="shared" si="2"/>
        <v>Long/Longa</v>
      </c>
      <c r="R11" s="49" t="s">
        <v>52</v>
      </c>
      <c r="S11" s="49" t="s">
        <v>99</v>
      </c>
      <c r="T11" s="49" t="s">
        <v>88</v>
      </c>
      <c r="U11" s="47" t="s">
        <v>93</v>
      </c>
      <c r="V11" s="7" t="s">
        <v>107</v>
      </c>
    </row>
    <row r="12" spans="1:22" s="8" customFormat="1" ht="231" customHeight="1" x14ac:dyDescent="0.25">
      <c r="A12" s="39">
        <v>6</v>
      </c>
      <c r="B12" s="38" t="s">
        <v>86</v>
      </c>
      <c r="C12" s="38">
        <f t="shared" si="0"/>
        <v>100</v>
      </c>
      <c r="D12" s="39">
        <f t="shared" si="1"/>
        <v>20</v>
      </c>
      <c r="E12" s="39"/>
      <c r="F12" s="37">
        <v>10</v>
      </c>
      <c r="G12" s="34"/>
      <c r="H12" s="37"/>
      <c r="I12" s="34"/>
      <c r="J12" s="37"/>
      <c r="K12" s="34"/>
      <c r="L12" s="37"/>
      <c r="M12" s="34"/>
      <c r="N12" s="37"/>
      <c r="O12" s="34"/>
      <c r="P12" s="35"/>
      <c r="Q12" s="45" t="str">
        <f t="shared" si="2"/>
        <v>Medium/Média</v>
      </c>
      <c r="R12" s="47" t="s">
        <v>51</v>
      </c>
      <c r="S12" s="49" t="s">
        <v>99</v>
      </c>
      <c r="T12" s="49" t="s">
        <v>88</v>
      </c>
      <c r="U12" s="47" t="s">
        <v>91</v>
      </c>
      <c r="V12" s="7" t="s">
        <v>107</v>
      </c>
    </row>
    <row r="13" spans="1:22" s="8" customFormat="1" ht="231" customHeight="1" x14ac:dyDescent="0.25">
      <c r="A13" s="39">
        <v>7</v>
      </c>
      <c r="B13" s="39" t="s">
        <v>87</v>
      </c>
      <c r="C13" s="38">
        <f t="shared" si="0"/>
        <v>100</v>
      </c>
      <c r="D13" s="39">
        <f t="shared" ref="D13:D18" si="3">(F13*2)+(H13*2)+J13+L13+N13</f>
        <v>20</v>
      </c>
      <c r="E13" s="39"/>
      <c r="F13" s="37">
        <v>4</v>
      </c>
      <c r="G13" s="34"/>
      <c r="H13" s="37">
        <v>6</v>
      </c>
      <c r="I13" s="34"/>
      <c r="J13" s="37"/>
      <c r="K13" s="34"/>
      <c r="L13" s="37"/>
      <c r="M13" s="34"/>
      <c r="N13" s="37"/>
      <c r="O13" s="34"/>
      <c r="P13" s="35"/>
      <c r="Q13" s="45" t="str">
        <f t="shared" si="2"/>
        <v>Medium/Média</v>
      </c>
      <c r="R13" s="49" t="s">
        <v>52</v>
      </c>
      <c r="S13" s="49" t="s">
        <v>100</v>
      </c>
      <c r="T13" s="49" t="s">
        <v>88</v>
      </c>
      <c r="U13" s="47" t="s">
        <v>91</v>
      </c>
      <c r="V13" s="7" t="s">
        <v>107</v>
      </c>
    </row>
    <row r="14" spans="1:22" s="8" customFormat="1" ht="231" customHeight="1" x14ac:dyDescent="0.25">
      <c r="A14" s="39">
        <v>8</v>
      </c>
      <c r="B14" s="39" t="s">
        <v>87</v>
      </c>
      <c r="C14" s="38">
        <f t="shared" si="0"/>
        <v>50</v>
      </c>
      <c r="D14" s="39">
        <f t="shared" si="3"/>
        <v>10</v>
      </c>
      <c r="E14" s="39"/>
      <c r="F14" s="37"/>
      <c r="G14" s="34"/>
      <c r="H14" s="37">
        <v>5</v>
      </c>
      <c r="I14" s="34"/>
      <c r="J14" s="37"/>
      <c r="K14" s="34"/>
      <c r="L14" s="37"/>
      <c r="M14" s="34"/>
      <c r="N14" s="37"/>
      <c r="O14" s="34"/>
      <c r="P14" s="35"/>
      <c r="Q14" s="45" t="str">
        <f t="shared" si="2"/>
        <v>Short/Curta</v>
      </c>
      <c r="R14" s="47" t="s">
        <v>51</v>
      </c>
      <c r="S14" s="47" t="s">
        <v>101</v>
      </c>
      <c r="T14" s="49" t="s">
        <v>88</v>
      </c>
      <c r="U14" s="47" t="s">
        <v>94</v>
      </c>
      <c r="V14" s="47" t="s">
        <v>107</v>
      </c>
    </row>
    <row r="15" spans="1:22" s="8" customFormat="1" ht="147" x14ac:dyDescent="0.25">
      <c r="A15" s="39">
        <v>9</v>
      </c>
      <c r="B15" s="39" t="s">
        <v>87</v>
      </c>
      <c r="C15" s="38">
        <f t="shared" si="0"/>
        <v>50</v>
      </c>
      <c r="D15" s="39">
        <f t="shared" si="3"/>
        <v>10</v>
      </c>
      <c r="E15" s="39"/>
      <c r="F15" s="37">
        <v>5</v>
      </c>
      <c r="G15" s="34"/>
      <c r="H15" s="37"/>
      <c r="I15" s="34"/>
      <c r="J15" s="37"/>
      <c r="K15" s="34"/>
      <c r="L15" s="37"/>
      <c r="M15" s="34"/>
      <c r="N15" s="37"/>
      <c r="O15" s="34"/>
      <c r="P15" s="35"/>
      <c r="Q15" s="45" t="str">
        <f t="shared" si="2"/>
        <v>Short/Curta</v>
      </c>
      <c r="R15" s="49" t="s">
        <v>54</v>
      </c>
      <c r="S15" s="49" t="s">
        <v>102</v>
      </c>
      <c r="T15" s="49" t="s">
        <v>88</v>
      </c>
      <c r="U15" s="47" t="s">
        <v>91</v>
      </c>
      <c r="V15" s="7" t="s">
        <v>107</v>
      </c>
    </row>
    <row r="16" spans="1:22" s="8" customFormat="1" ht="147" x14ac:dyDescent="0.25">
      <c r="A16" s="39">
        <v>10</v>
      </c>
      <c r="B16" s="39" t="s">
        <v>87</v>
      </c>
      <c r="C16" s="38">
        <f t="shared" si="0"/>
        <v>50</v>
      </c>
      <c r="D16" s="39">
        <f t="shared" si="3"/>
        <v>10</v>
      </c>
      <c r="E16" s="39"/>
      <c r="F16" s="37">
        <v>5</v>
      </c>
      <c r="G16" s="34"/>
      <c r="H16" s="37"/>
      <c r="I16" s="34"/>
      <c r="J16" s="37"/>
      <c r="K16" s="34"/>
      <c r="L16" s="37"/>
      <c r="M16" s="34"/>
      <c r="N16" s="37"/>
      <c r="O16" s="34"/>
      <c r="P16" s="35"/>
      <c r="Q16" s="45" t="str">
        <f t="shared" si="2"/>
        <v>Short/Curta</v>
      </c>
      <c r="R16" s="46" t="s">
        <v>51</v>
      </c>
      <c r="S16" s="47" t="s">
        <v>103</v>
      </c>
      <c r="T16" s="49" t="s">
        <v>88</v>
      </c>
      <c r="U16" s="47" t="s">
        <v>91</v>
      </c>
      <c r="V16" s="47" t="s">
        <v>107</v>
      </c>
    </row>
    <row r="17" spans="1:22" s="8" customFormat="1" ht="105" x14ac:dyDescent="0.25">
      <c r="A17" s="39">
        <v>11</v>
      </c>
      <c r="B17" s="39" t="s">
        <v>87</v>
      </c>
      <c r="C17" s="38">
        <f t="shared" si="0"/>
        <v>50</v>
      </c>
      <c r="D17" s="39">
        <f t="shared" si="3"/>
        <v>10</v>
      </c>
      <c r="E17" s="39"/>
      <c r="F17" s="37"/>
      <c r="G17" s="34"/>
      <c r="H17" s="37"/>
      <c r="I17" s="34"/>
      <c r="J17" s="37">
        <v>2</v>
      </c>
      <c r="K17" s="34"/>
      <c r="L17" s="37"/>
      <c r="M17" s="34"/>
      <c r="N17" s="37">
        <v>8</v>
      </c>
      <c r="O17" s="34">
        <v>6</v>
      </c>
      <c r="P17" s="35"/>
      <c r="Q17" s="45" t="str">
        <f t="shared" si="2"/>
        <v>Short/Curta</v>
      </c>
      <c r="R17" s="47" t="s">
        <v>51</v>
      </c>
      <c r="S17" s="47" t="s">
        <v>104</v>
      </c>
      <c r="T17" s="49" t="s">
        <v>88</v>
      </c>
      <c r="U17" s="47" t="s">
        <v>91</v>
      </c>
      <c r="V17" s="7" t="s">
        <v>107</v>
      </c>
    </row>
    <row r="18" spans="1:22" s="8" customFormat="1" ht="231" x14ac:dyDescent="0.25">
      <c r="A18" s="39">
        <v>12</v>
      </c>
      <c r="B18" s="39" t="s">
        <v>87</v>
      </c>
      <c r="C18" s="38">
        <f t="shared" si="0"/>
        <v>175</v>
      </c>
      <c r="D18" s="39">
        <f t="shared" si="3"/>
        <v>35</v>
      </c>
      <c r="E18" s="39"/>
      <c r="F18" s="37">
        <v>13</v>
      </c>
      <c r="G18" s="34"/>
      <c r="H18" s="37">
        <v>3</v>
      </c>
      <c r="I18" s="34"/>
      <c r="J18" s="37">
        <v>3</v>
      </c>
      <c r="K18" s="34">
        <v>2</v>
      </c>
      <c r="L18" s="37"/>
      <c r="M18" s="34"/>
      <c r="N18" s="37"/>
      <c r="O18" s="34"/>
      <c r="P18" s="35"/>
      <c r="Q18" s="45" t="str">
        <f t="shared" si="2"/>
        <v>Long/Longa</v>
      </c>
      <c r="R18" s="49" t="s">
        <v>52</v>
      </c>
      <c r="S18" s="49" t="s">
        <v>90</v>
      </c>
      <c r="T18" s="47" t="s">
        <v>50</v>
      </c>
      <c r="U18" s="47" t="s">
        <v>105</v>
      </c>
      <c r="V18" s="7" t="s">
        <v>107</v>
      </c>
    </row>
    <row r="19" spans="1:22" x14ac:dyDescent="0.25">
      <c r="C19" s="3">
        <f>SUM(C7:C18)</f>
        <v>1030</v>
      </c>
      <c r="F19" s="3">
        <f>SUM(F7:F18)</f>
        <v>57</v>
      </c>
      <c r="G19" s="3">
        <f t="shared" ref="G19:P19" si="4">SUM(G7:G18)</f>
        <v>6</v>
      </c>
      <c r="H19" s="3">
        <f t="shared" si="4"/>
        <v>36</v>
      </c>
      <c r="I19" s="3">
        <f t="shared" si="4"/>
        <v>11</v>
      </c>
      <c r="J19" s="3">
        <f t="shared" si="4"/>
        <v>8</v>
      </c>
      <c r="K19" s="3">
        <f t="shared" si="4"/>
        <v>2</v>
      </c>
      <c r="L19" s="3">
        <f t="shared" si="4"/>
        <v>0</v>
      </c>
      <c r="M19" s="3">
        <f t="shared" si="4"/>
        <v>0</v>
      </c>
      <c r="N19" s="3">
        <f t="shared" si="4"/>
        <v>12</v>
      </c>
      <c r="O19" s="3">
        <f t="shared" si="4"/>
        <v>6</v>
      </c>
      <c r="P19" s="3">
        <f t="shared" si="4"/>
        <v>0</v>
      </c>
    </row>
  </sheetData>
  <mergeCells count="5">
    <mergeCell ref="B1:E1"/>
    <mergeCell ref="B2:E2"/>
    <mergeCell ref="B3:E3"/>
    <mergeCell ref="B4:E4"/>
    <mergeCell ref="B5:E5"/>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zoomScaleNormal="100" workbookViewId="0">
      <selection sqref="A1:B1"/>
    </sheetView>
  </sheetViews>
  <sheetFormatPr defaultColWidth="9.140625" defaultRowHeight="18.75" x14ac:dyDescent="0.25"/>
  <cols>
    <col min="1" max="1" width="27.140625" style="10" bestFit="1" customWidth="1"/>
    <col min="2" max="2" width="81.85546875" style="10" customWidth="1"/>
    <col min="3" max="3" width="17.5703125" style="40" customWidth="1"/>
    <col min="4" max="4" width="20.42578125" style="42" bestFit="1" customWidth="1"/>
    <col min="5" max="5" width="23" style="42" bestFit="1" customWidth="1"/>
    <col min="6" max="6" width="18.42578125" style="42" bestFit="1" customWidth="1"/>
    <col min="7" max="7" width="24" style="42" bestFit="1" customWidth="1"/>
    <col min="8" max="8" width="11.140625" style="42" bestFit="1" customWidth="1"/>
    <col min="9" max="9" width="9.140625" style="42" bestFit="1" customWidth="1"/>
    <col min="10" max="16384" width="9.140625" style="3"/>
  </cols>
  <sheetData>
    <row r="1" spans="1:9" ht="32.25" thickBot="1" x14ac:dyDescent="0.3">
      <c r="A1" s="79" t="str">
        <f>PistasRF!$B$1&amp;"ª Etapa Brasileiro SHOTGUN 2014 - Nivel III     -    "&amp; DAY(PistasRF!$B$2)&amp;"/"&amp;MONTH(PistasRF!$B$2)&amp;"/"&amp;YEAR(PistasRF!$B$2)</f>
        <v>2ª Etapa Brasileiro SHOTGUN 2014 - Nivel III     -    19/7/2014</v>
      </c>
      <c r="B1" s="79"/>
      <c r="C1" s="18"/>
      <c r="D1" s="53"/>
      <c r="E1" s="53"/>
      <c r="F1" s="53"/>
      <c r="G1" s="53"/>
      <c r="H1" s="53"/>
      <c r="I1" s="53"/>
    </row>
    <row r="2" spans="1:9" x14ac:dyDescent="0.25">
      <c r="A2" s="40"/>
      <c r="B2" s="40"/>
    </row>
    <row r="3" spans="1:9" x14ac:dyDescent="0.25">
      <c r="A3" s="23" t="s">
        <v>56</v>
      </c>
      <c r="B3" s="22">
        <v>1</v>
      </c>
      <c r="D3" s="30"/>
      <c r="E3" s="30"/>
      <c r="F3" s="30"/>
      <c r="G3" s="30"/>
      <c r="H3" s="30"/>
      <c r="I3" s="30"/>
    </row>
    <row r="4" spans="1:9" x14ac:dyDescent="0.25">
      <c r="A4" s="23" t="s">
        <v>6</v>
      </c>
      <c r="B4" s="24" t="str">
        <f>UPPER(VLOOKUP(B3,PistasRF!$A$6:$V$18,17,FALSE))</f>
        <v>SHORT/CURTA</v>
      </c>
      <c r="C4" s="21"/>
    </row>
    <row r="5" spans="1:9" x14ac:dyDescent="0.25">
      <c r="A5" s="23" t="s">
        <v>7</v>
      </c>
      <c r="B5" s="24" t="str">
        <f>UPPER(D5&amp;E5&amp;F5&amp;G5&amp;H5&amp;I5)</f>
        <v xml:space="preserve">5 IPSC MINI TARGET; </v>
      </c>
      <c r="C5" s="54"/>
      <c r="D5" s="31" t="str">
        <f>IF(D6&lt;&gt;"",D6&amp; " IPSC TARGET; ","")</f>
        <v/>
      </c>
      <c r="E5" s="31" t="str">
        <f>IF(E6&lt;&gt;"",E6&amp;" IPSC Mini Target; ","")</f>
        <v xml:space="preserve">5 IPSC Mini Target; </v>
      </c>
      <c r="F5" s="31" t="str">
        <f>IF(F6&lt;&gt;"",F6&amp;" IPSC Popper; ","")</f>
        <v/>
      </c>
      <c r="G5" s="31" t="str">
        <f>IF(G6&lt;&gt;"",G6&amp;" IPSC Mini Popper; ","")</f>
        <v/>
      </c>
      <c r="H5" s="31" t="str">
        <f>IF(H6&lt;&gt;"",H6&amp;" Plates; ","")</f>
        <v/>
      </c>
      <c r="I5" s="31" t="str">
        <f>IF(I6&lt;&gt;"",I6&amp;" Clay; ","")</f>
        <v/>
      </c>
    </row>
    <row r="6" spans="1:9" x14ac:dyDescent="0.25">
      <c r="A6" s="23" t="s">
        <v>8</v>
      </c>
      <c r="B6" s="24" t="str">
        <f>UPPER(VLOOKUP(B3,PistasRF!$A$6:$V$18,4,FALSE))</f>
        <v>10</v>
      </c>
      <c r="C6" s="26"/>
      <c r="D6" s="32" t="str">
        <f>IF(VLOOKUP(B3,PistasRF!$A$6:$U$18,6,FALSE)=0,"",VLOOKUP(B3,PistasRF!$A$6:$U$18,6,FALSE))</f>
        <v/>
      </c>
      <c r="E6" s="32">
        <f>IF(VLOOKUP(B3,PistasRF!$A$6:$U$18,8,FALSE)=0,"",VLOOKUP(B3,PistasRF!$A$6:$U$18,8,FALSE))</f>
        <v>5</v>
      </c>
      <c r="F6" s="32" t="str">
        <f>IF(VLOOKUP(B3,PistasRF!$A$6:$U$18,10,FALSE)=0,"",VLOOKUP(B3,PistasRF!$A$6:$U$18,10,FALSE))</f>
        <v/>
      </c>
      <c r="G6" s="32" t="str">
        <f>IF(VLOOKUP(B3,PistasRF!$A$6:$U$18,12,FALSE)=0,"",VLOOKUP(B3,PistasRF!$A$6:$U$18,12,FALSE))</f>
        <v/>
      </c>
      <c r="H6" s="32" t="str">
        <f>IF(VLOOKUP(B3,PistasRF!$A$6:$T$18,14,FALSE)=0,"",VLOOKUP(B3,PistasRF!$A$6:$T$18,14,FALSE))</f>
        <v/>
      </c>
      <c r="I6" s="32" t="str">
        <f>IF(VLOOKUP(B3,PistasRF!$A$6:$U$18,16,FALSE)=0,"",VLOOKUP(B3,PistasRF!$A$6:$U$18,16,FALSE))</f>
        <v/>
      </c>
    </row>
    <row r="7" spans="1:9" x14ac:dyDescent="0.25">
      <c r="A7" s="25" t="s">
        <v>46</v>
      </c>
      <c r="B7" s="24">
        <f>(VLOOKUP(B3,PistasRF!$A$6:$V$18,5,FALSE))</f>
        <v>0</v>
      </c>
      <c r="E7" s="78"/>
      <c r="F7" s="78"/>
      <c r="G7" s="78"/>
      <c r="H7" s="78"/>
      <c r="I7" s="1"/>
    </row>
    <row r="8" spans="1:9" x14ac:dyDescent="0.25">
      <c r="A8" s="23" t="s">
        <v>10</v>
      </c>
      <c r="B8" s="24" t="str">
        <f>UPPER(VLOOKUP(B3,PistasRF!$A$6:$V$18,3,FALSE))</f>
        <v>50</v>
      </c>
      <c r="C8" s="52"/>
      <c r="D8" s="52"/>
      <c r="E8" s="52"/>
      <c r="F8" s="52"/>
      <c r="G8" s="52"/>
      <c r="H8" s="52"/>
      <c r="I8" s="1"/>
    </row>
    <row r="9" spans="1:9" x14ac:dyDescent="0.25">
      <c r="A9" s="23" t="s">
        <v>11</v>
      </c>
      <c r="B9" s="24" t="str">
        <f>UPPER(VLOOKUP(B3,PistasRF!$A$6:$V$18,18,FALSE))</f>
        <v>8.1.2 - OPTION 2</v>
      </c>
      <c r="D9" s="33"/>
      <c r="E9" s="30"/>
      <c r="F9" s="30"/>
      <c r="G9" s="30"/>
      <c r="H9" s="30"/>
      <c r="I9" s="30"/>
    </row>
    <row r="10" spans="1:9" ht="126" x14ac:dyDescent="0.25">
      <c r="A10" s="23" t="s">
        <v>12</v>
      </c>
      <c r="B10" s="24" t="str">
        <f>(VLOOKUP(B3,PistasRF!$A$6:$V$18,19,FALSE))</f>
        <v>Sitting, both feet in support, weak hand holding the rope touching the breast, strong hand holding the Rifle on the thigh leg on the same side toward the downrange, trigger guard downwards, muzzle pointing downrange, fingers outside trigger guard as demonstrated.
Sentado, pés nos estribos (suporte), mão fraca segurando a corda e encontando no peito. Mão forte segurando o Rifle em direção ao downrange, sobre a perna do mesmo lado, gatilho para baixo, dedos fora do guarda mato, Face para Downrange, conforme demonstrado.</v>
      </c>
      <c r="C10" s="51"/>
      <c r="D10" s="51"/>
      <c r="E10" s="30"/>
      <c r="F10" s="30"/>
      <c r="G10" s="30"/>
      <c r="H10" s="30"/>
      <c r="I10" s="30"/>
    </row>
    <row r="11" spans="1:9" ht="31.5" x14ac:dyDescent="0.25">
      <c r="A11" s="23" t="s">
        <v>13</v>
      </c>
      <c r="B11" s="24" t="str">
        <f>VLOOKUP(B3,PistasRF!$A$6:$V$18,20,FALSE)</f>
        <v>Audible signal/
Sinal Audível</v>
      </c>
      <c r="C11" s="52"/>
      <c r="D11" s="51"/>
      <c r="E11" s="51"/>
      <c r="F11" s="51"/>
      <c r="G11" s="51"/>
      <c r="H11" s="51"/>
      <c r="I11" s="1"/>
    </row>
    <row r="12" spans="1:9" ht="31.5" x14ac:dyDescent="0.25">
      <c r="A12" s="23" t="s">
        <v>14</v>
      </c>
      <c r="B12" s="24" t="str">
        <f>(VLOOKUP(B3,PistasRF!$A$6:$V$18,21,FALSE))</f>
        <v xml:space="preserve">At the start signal engage targets to remain seated with both feet on the  holder. 
Ao sinal de partida engajar alvos sentado com os dois pés no suporte. </v>
      </c>
      <c r="C12" s="52"/>
      <c r="D12" s="51"/>
      <c r="E12" s="51"/>
      <c r="F12" s="51"/>
      <c r="G12" s="51"/>
      <c r="H12" s="51"/>
      <c r="I12" s="1"/>
    </row>
    <row r="13" spans="1:9" ht="47.25" x14ac:dyDescent="0.25">
      <c r="A13" s="23" t="s">
        <v>55</v>
      </c>
      <c r="B13" s="24" t="str">
        <f>(VLOOKUP(B3,PistasRF!$A$6:$V$18,22,FALSE))</f>
        <v>Rule 10.2.1.1  Aplys if foot out of the holder.
Regra 10.2.1.1 será aplicada se algum pé sair do Estribo (suporte)
Para Puma Standard somente 1 disparo por alvo</v>
      </c>
      <c r="C13" s="58"/>
      <c r="D13" s="57"/>
      <c r="E13" s="57"/>
      <c r="F13" s="57"/>
      <c r="G13" s="57"/>
      <c r="H13" s="57"/>
      <c r="I13" s="1"/>
    </row>
    <row r="14" spans="1:9" x14ac:dyDescent="0.25">
      <c r="A14" s="43"/>
      <c r="B14" s="44"/>
      <c r="C14" s="20"/>
      <c r="D14" s="30"/>
      <c r="E14" s="30"/>
      <c r="F14" s="30"/>
      <c r="G14" s="30"/>
      <c r="H14" s="30"/>
      <c r="I14" s="30"/>
    </row>
    <row r="15" spans="1:9" x14ac:dyDescent="0.25">
      <c r="A15" s="23" t="s">
        <v>56</v>
      </c>
      <c r="B15" s="22">
        <v>2</v>
      </c>
      <c r="D15" s="30"/>
      <c r="E15" s="30"/>
      <c r="F15" s="30"/>
      <c r="G15" s="30"/>
      <c r="H15" s="30"/>
      <c r="I15" s="30"/>
    </row>
    <row r="16" spans="1:9" x14ac:dyDescent="0.25">
      <c r="A16" s="23" t="s">
        <v>6</v>
      </c>
      <c r="B16" s="24" t="str">
        <f>UPPER(VLOOKUP(B15,PistasRF!$A$6:$V$18,17,FALSE))</f>
        <v>MEDIUM/MÉDIA</v>
      </c>
      <c r="C16" s="21"/>
    </row>
    <row r="17" spans="1:9" x14ac:dyDescent="0.25">
      <c r="A17" s="23" t="s">
        <v>7</v>
      </c>
      <c r="B17" s="24" t="str">
        <f>UPPER(D17&amp;E17&amp;F17&amp;G17&amp;H17&amp;I17)</f>
        <v xml:space="preserve">10 IPSC MINI TARGET; </v>
      </c>
      <c r="C17" s="54"/>
      <c r="D17" s="31" t="str">
        <f>IF(D18&lt;&gt;"",D18&amp; " IPSC TARGET; ","")</f>
        <v/>
      </c>
      <c r="E17" s="31" t="str">
        <f>IF(E18&lt;&gt;"",E18&amp;" IPSC Mini Target; ","")</f>
        <v xml:space="preserve">10 IPSC Mini Target; </v>
      </c>
      <c r="F17" s="31" t="str">
        <f>IF(F18&lt;&gt;"",F18&amp;" IPSC Popper; ","")</f>
        <v/>
      </c>
      <c r="G17" s="31" t="str">
        <f>IF(G18&lt;&gt;"",G18&amp;" IPSC Mini Popper; ","")</f>
        <v/>
      </c>
      <c r="H17" s="31" t="str">
        <f>IF(H18&lt;&gt;"",H18&amp;" Plates; ","")</f>
        <v/>
      </c>
      <c r="I17" s="31" t="str">
        <f>IF(I18&lt;&gt;"",I18&amp;" Clay; ","")</f>
        <v/>
      </c>
    </row>
    <row r="18" spans="1:9" x14ac:dyDescent="0.25">
      <c r="A18" s="23" t="s">
        <v>8</v>
      </c>
      <c r="B18" s="24" t="str">
        <f>UPPER(VLOOKUP(B15,PistasRF!$A$6:$V$18,4,FALSE))</f>
        <v>20</v>
      </c>
      <c r="C18" s="26"/>
      <c r="D18" s="32" t="str">
        <f>IF(VLOOKUP(B15,PistasRF!$A$6:$U$18,6,FALSE)=0,"",VLOOKUP(B15,PistasRF!$A$6:$U$18,6,FALSE))</f>
        <v/>
      </c>
      <c r="E18" s="32">
        <f>IF(VLOOKUP(B15,PistasRF!$A$6:$U$18,8,FALSE)=0,"",VLOOKUP(B15,PistasRF!$A$6:$U$18,8,FALSE))</f>
        <v>10</v>
      </c>
      <c r="F18" s="32" t="str">
        <f>IF(VLOOKUP(B15,PistasRF!$A$6:$U$18,10,FALSE)=0,"",VLOOKUP(B15,PistasRF!$A$6:$U$18,10,FALSE))</f>
        <v/>
      </c>
      <c r="G18" s="32" t="str">
        <f>IF(VLOOKUP(B15,PistasRF!$A$6:$U$18,12,FALSE)=0,"",VLOOKUP(B15,PistasRF!$A$6:$U$18,12,FALSE))</f>
        <v/>
      </c>
      <c r="H18" s="32" t="str">
        <f>IF(VLOOKUP(B15,PistasRF!$A$6:$T$18,14,FALSE)=0,"",VLOOKUP(B15,PistasRF!$A$6:$T$18,14,FALSE))</f>
        <v/>
      </c>
      <c r="I18" s="32" t="str">
        <f>IF(VLOOKUP(B15,PistasRF!$A$6:$U$18,16,FALSE)=0,"",VLOOKUP(B15,PistasRF!$A$6:$U$18,16,FALSE))</f>
        <v/>
      </c>
    </row>
    <row r="19" spans="1:9" x14ac:dyDescent="0.25">
      <c r="A19" s="25" t="s">
        <v>46</v>
      </c>
      <c r="B19" s="24">
        <f>(VLOOKUP(B15,PistasRF!$A$6:$V$18,5,FALSE))</f>
        <v>0</v>
      </c>
      <c r="E19" s="78"/>
      <c r="F19" s="78"/>
      <c r="G19" s="78"/>
      <c r="H19" s="78"/>
      <c r="I19" s="1"/>
    </row>
    <row r="20" spans="1:9" x14ac:dyDescent="0.25">
      <c r="A20" s="23" t="s">
        <v>10</v>
      </c>
      <c r="B20" s="24" t="str">
        <f>UPPER(VLOOKUP(B15,PistasRF!$A$6:$V$18,3,FALSE))</f>
        <v>100</v>
      </c>
      <c r="C20" s="52"/>
      <c r="D20" s="52"/>
      <c r="E20" s="52"/>
      <c r="F20" s="52"/>
      <c r="G20" s="52"/>
      <c r="H20" s="52"/>
      <c r="I20" s="1"/>
    </row>
    <row r="21" spans="1:9" x14ac:dyDescent="0.25">
      <c r="A21" s="23" t="s">
        <v>11</v>
      </c>
      <c r="B21" s="24" t="str">
        <f>UPPER(VLOOKUP(B15,PistasRF!$A$6:$V$18,18,FALSE))</f>
        <v>8.1.1 - OPTION 1</v>
      </c>
      <c r="D21" s="33"/>
      <c r="E21" s="30"/>
      <c r="F21" s="30"/>
      <c r="G21" s="30"/>
      <c r="H21" s="30"/>
      <c r="I21" s="30"/>
    </row>
    <row r="22" spans="1:9" ht="94.5" x14ac:dyDescent="0.25">
      <c r="A22" s="23" t="s">
        <v>12</v>
      </c>
      <c r="B22" s="24" t="str">
        <f>(VLOOKUP(B15,PistasRF!$A$6:$V$18,19,FALSE))</f>
        <v>Standing erect, relaxed,  heels touching the start line, Rifle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v>
      </c>
      <c r="C22" s="51"/>
      <c r="D22" s="51"/>
      <c r="E22" s="30"/>
      <c r="F22" s="30"/>
      <c r="G22" s="30"/>
      <c r="H22" s="30"/>
      <c r="I22" s="30"/>
    </row>
    <row r="23" spans="1:9" ht="31.5" x14ac:dyDescent="0.25">
      <c r="A23" s="23" t="s">
        <v>13</v>
      </c>
      <c r="B23" s="24" t="str">
        <f>VLOOKUP(B15,PistasRF!$A$6:$V$18,20,FALSE)</f>
        <v>Audible signal/
Sinal Audível</v>
      </c>
      <c r="C23" s="52"/>
      <c r="D23" s="51"/>
      <c r="E23" s="51"/>
      <c r="F23" s="51"/>
      <c r="G23" s="51"/>
      <c r="H23" s="51"/>
      <c r="I23" s="1"/>
    </row>
    <row r="24" spans="1:9" ht="31.5" x14ac:dyDescent="0.25">
      <c r="A24" s="23" t="s">
        <v>14</v>
      </c>
      <c r="B24" s="24" t="str">
        <f>(VLOOKUP(B15,PistasRF!$A$6:$V$18,21,FALSE))</f>
        <v>At the start signal engage targets from whithin the designated area. 
Ao sinal de partida engajar os alvos na área designada.</v>
      </c>
      <c r="C24" s="52"/>
      <c r="D24" s="51"/>
      <c r="E24" s="51"/>
      <c r="F24" s="51"/>
      <c r="G24" s="51"/>
      <c r="H24" s="51"/>
      <c r="I24" s="1"/>
    </row>
    <row r="25" spans="1:9" x14ac:dyDescent="0.25">
      <c r="A25" s="23" t="s">
        <v>55</v>
      </c>
      <c r="B25" s="24" t="str">
        <f>(VLOOKUP(B15,PistasRF!$A$6:$V$18,22,FALSE))</f>
        <v>Para Puma Standard somente 1 disparo por alvo</v>
      </c>
      <c r="C25" s="58"/>
      <c r="D25" s="57"/>
      <c r="E25" s="57"/>
      <c r="F25" s="57"/>
      <c r="G25" s="57"/>
      <c r="H25" s="57"/>
      <c r="I25" s="1"/>
    </row>
    <row r="26" spans="1:9" x14ac:dyDescent="0.25">
      <c r="A26" s="43"/>
      <c r="B26" s="44"/>
      <c r="C26" s="20"/>
      <c r="D26" s="30"/>
      <c r="E26" s="30"/>
      <c r="F26" s="30"/>
      <c r="G26" s="30"/>
      <c r="H26" s="30"/>
      <c r="I26" s="30"/>
    </row>
    <row r="27" spans="1:9" x14ac:dyDescent="0.25">
      <c r="A27" s="23" t="s">
        <v>56</v>
      </c>
      <c r="B27" s="22">
        <v>3</v>
      </c>
      <c r="D27" s="30"/>
      <c r="E27" s="30"/>
      <c r="F27" s="30"/>
      <c r="G27" s="30"/>
      <c r="H27" s="30"/>
      <c r="I27" s="30"/>
    </row>
    <row r="28" spans="1:9" x14ac:dyDescent="0.25">
      <c r="A28" s="23" t="s">
        <v>6</v>
      </c>
      <c r="B28" s="24" t="str">
        <f>UPPER(VLOOKUP(B27,PistasRF!$A$6:$V$18,17,FALSE))</f>
        <v>SHORT/CURTA</v>
      </c>
      <c r="C28" s="21"/>
    </row>
    <row r="29" spans="1:9" x14ac:dyDescent="0.25">
      <c r="A29" s="23" t="s">
        <v>7</v>
      </c>
      <c r="B29" s="24" t="str">
        <f>UPPER(D29&amp;E29&amp;F29&amp;G29&amp;H29&amp;I29)</f>
        <v xml:space="preserve">3 IPSC POPPER; 4 PLATES; </v>
      </c>
      <c r="C29" s="54"/>
      <c r="D29" s="31" t="str">
        <f>IF(D30&lt;&gt;"",D30&amp; " IPSC TARGET; ","")</f>
        <v/>
      </c>
      <c r="E29" s="31" t="str">
        <f>IF(E30&lt;&gt;"",E30&amp;" IPSC A4 ","")</f>
        <v/>
      </c>
      <c r="F29" s="31" t="str">
        <f>IF(F30&lt;&gt;"",F30&amp;" IPSC Popper; ","")</f>
        <v xml:space="preserve">3 IPSC Popper; </v>
      </c>
      <c r="G29" s="31" t="str">
        <f>IF(G30&lt;&gt;"",G30&amp;" IPSC Mini Popper; ","")</f>
        <v/>
      </c>
      <c r="H29" s="31" t="str">
        <f>IF(H30&lt;&gt;"",H30&amp;" Plates; ","")</f>
        <v xml:space="preserve">4 Plates; </v>
      </c>
      <c r="I29" s="31" t="str">
        <f>IF(I30&lt;&gt;"",I30&amp;" Clay; ","")</f>
        <v/>
      </c>
    </row>
    <row r="30" spans="1:9" x14ac:dyDescent="0.25">
      <c r="A30" s="23" t="s">
        <v>8</v>
      </c>
      <c r="B30" s="24" t="str">
        <f>UPPER(VLOOKUP(B27,PistasRF!$A$6:$V$18,4,FALSE))</f>
        <v>7</v>
      </c>
      <c r="C30" s="26"/>
      <c r="D30" s="32" t="str">
        <f>IF(VLOOKUP(B27,PistasRF!$A$6:$U$18,6,FALSE)=0,"",VLOOKUP(B27,PistasRF!$A$6:$U$18,6,FALSE))</f>
        <v/>
      </c>
      <c r="E30" s="32" t="str">
        <f>IF(VLOOKUP(B27,PistasRF!$A$6:$U$18,8,FALSE)=0,"",VLOOKUP(B27,PistasRF!$A$6:$U$18,8,FALSE))</f>
        <v/>
      </c>
      <c r="F30" s="32">
        <f>IF(VLOOKUP(B27,PistasRF!$A$6:$U$18,10,FALSE)=0,"",VLOOKUP(B27,PistasRF!$A$6:$U$18,10,FALSE))</f>
        <v>3</v>
      </c>
      <c r="G30" s="32" t="str">
        <f>IF(VLOOKUP(B27,PistasRF!$A$6:$U$18,12,FALSE)=0,"",VLOOKUP(B27,PistasRF!$A$6:$U$18,12,FALSE))</f>
        <v/>
      </c>
      <c r="H30" s="32">
        <f>IF(VLOOKUP(B27,PistasRF!$A$6:$T$18,14,FALSE)=0,"",VLOOKUP(B27,PistasRF!$A$6:$T$18,14,FALSE))</f>
        <v>4</v>
      </c>
      <c r="I30" s="32" t="str">
        <f>IF(VLOOKUP(B27,PistasRF!$A$6:$U$18,16,FALSE)=0,"",VLOOKUP(B27,PistasRF!$A$6:$U$18,16,FALSE))</f>
        <v/>
      </c>
    </row>
    <row r="31" spans="1:9" x14ac:dyDescent="0.25">
      <c r="A31" s="25" t="s">
        <v>46</v>
      </c>
      <c r="B31" s="24">
        <f>(VLOOKUP(B27,PistasRF!$A$6:$V$18,5,FALSE))</f>
        <v>0</v>
      </c>
      <c r="E31" s="78"/>
      <c r="F31" s="78"/>
      <c r="G31" s="78"/>
      <c r="H31" s="78"/>
      <c r="I31" s="1"/>
    </row>
    <row r="32" spans="1:9" x14ac:dyDescent="0.25">
      <c r="A32" s="23" t="s">
        <v>10</v>
      </c>
      <c r="B32" s="24" t="str">
        <f>UPPER(VLOOKUP(B27,PistasRF!$A$6:$V$18,3,FALSE))</f>
        <v>35</v>
      </c>
      <c r="C32" s="52"/>
      <c r="D32" s="52"/>
      <c r="E32" s="52"/>
      <c r="F32" s="52"/>
      <c r="G32" s="52"/>
      <c r="H32" s="52"/>
      <c r="I32" s="1"/>
    </row>
    <row r="33" spans="1:9" x14ac:dyDescent="0.25">
      <c r="A33" s="23" t="s">
        <v>11</v>
      </c>
      <c r="B33" s="24" t="str">
        <f>UPPER(VLOOKUP(B27,PistasRF!$A$6:$V$18,18,FALSE))</f>
        <v>8.1.3 - OPTION 3</v>
      </c>
      <c r="D33" s="33"/>
      <c r="E33" s="30"/>
      <c r="F33" s="30"/>
      <c r="G33" s="30"/>
      <c r="H33" s="30"/>
      <c r="I33" s="30"/>
    </row>
    <row r="34" spans="1:9" ht="110.25" x14ac:dyDescent="0.25">
      <c r="A34" s="23" t="s">
        <v>12</v>
      </c>
      <c r="B34" s="24" t="str">
        <f>(VLOOKUP(B27,PistasRF!$A$6:$V$18,19,FALSE))</f>
        <v>Standing, erect, relaxed, heels touching the Start Line. Rifle safe the center of gravity by the strong hand, trigger guard downwards, muzzle pointing downrange,  as demonstrated.
Em pé, ereto e relaxado, calcanhares tocando a start line. Rifle seguro pela mão forte  no centro de gravidade da arma em direção ao parabalas,  braços estendidos. Gatilho para baixo, dedos fora do guarda mato. Face para Downrange, conforme demonstrado</v>
      </c>
      <c r="C34" s="51"/>
      <c r="D34" s="51"/>
      <c r="E34" s="30"/>
      <c r="F34" s="30"/>
      <c r="G34" s="30"/>
      <c r="H34" s="30"/>
      <c r="I34" s="30"/>
    </row>
    <row r="35" spans="1:9" ht="31.5" x14ac:dyDescent="0.25">
      <c r="A35" s="23" t="s">
        <v>13</v>
      </c>
      <c r="B35" s="24" t="str">
        <f>VLOOKUP(B27,PistasRF!$A$6:$V$18,20,FALSE)</f>
        <v>Audible signal/
Sinal Audível</v>
      </c>
      <c r="C35" s="52"/>
      <c r="D35" s="51"/>
      <c r="E35" s="51"/>
      <c r="F35" s="51"/>
      <c r="G35" s="51"/>
      <c r="H35" s="51"/>
      <c r="I35" s="1"/>
    </row>
    <row r="36" spans="1:9" ht="94.5" x14ac:dyDescent="0.25">
      <c r="A36" s="23" t="s">
        <v>14</v>
      </c>
      <c r="B36" s="24" t="str">
        <f>(VLOOKUP(B27,PistasRF!$A$6:$V$18,21,FALSE))</f>
        <v>At the start signal engage targets from whithin the designated area. PP2 liberates the balance. PP1 to PP3 should be thrown under the obstacle. PL1 to PL4 should be thrown over the obstacle, remains visible.
Ao sinal de partida engajar alvos na área designada. PP2 libera o balanço. PP1 a PP3 deve ser engajados por baixo do obstáculo. PL1 a PL4 deve ser engajados sobre o obstáculo e permanecem visíveis.</v>
      </c>
      <c r="C36" s="52"/>
      <c r="D36" s="51"/>
      <c r="E36" s="51"/>
      <c r="F36" s="51"/>
      <c r="G36" s="51"/>
      <c r="H36" s="51"/>
      <c r="I36" s="1"/>
    </row>
    <row r="37" spans="1:9" x14ac:dyDescent="0.25">
      <c r="A37" s="23" t="s">
        <v>55</v>
      </c>
      <c r="B37" s="24" t="str">
        <f>(VLOOKUP(B27,PistasRF!$A$6:$V$18,22,FALSE))</f>
        <v>Para Puma Standard somente 1 disparo por alvo</v>
      </c>
      <c r="C37" s="58"/>
      <c r="D37" s="57"/>
      <c r="E37" s="57"/>
      <c r="F37" s="57"/>
      <c r="G37" s="57"/>
      <c r="H37" s="57"/>
      <c r="I37" s="1"/>
    </row>
    <row r="38" spans="1:9" x14ac:dyDescent="0.25">
      <c r="A38" s="43"/>
      <c r="B38" s="44"/>
      <c r="C38" s="20"/>
      <c r="D38" s="30"/>
      <c r="E38" s="30"/>
      <c r="F38" s="30"/>
      <c r="G38" s="30"/>
      <c r="H38" s="30"/>
      <c r="I38" s="30"/>
    </row>
    <row r="39" spans="1:9" x14ac:dyDescent="0.25">
      <c r="A39" s="23" t="s">
        <v>56</v>
      </c>
      <c r="B39" s="22">
        <v>4</v>
      </c>
      <c r="D39" s="30"/>
      <c r="E39" s="30"/>
      <c r="F39" s="30"/>
      <c r="G39" s="30"/>
      <c r="H39" s="30"/>
      <c r="I39" s="30"/>
    </row>
    <row r="40" spans="1:9" x14ac:dyDescent="0.25">
      <c r="A40" s="23" t="s">
        <v>6</v>
      </c>
      <c r="B40" s="24" t="str">
        <f>UPPER(VLOOKUP(B39,PistasRF!$A$6:$V$18,17,FALSE))</f>
        <v>MEDIUM/MÉDIA</v>
      </c>
      <c r="C40" s="21"/>
    </row>
    <row r="41" spans="1:9" x14ac:dyDescent="0.25">
      <c r="A41" s="23" t="s">
        <v>7</v>
      </c>
      <c r="B41" s="24" t="str">
        <f>UPPER(D41&amp;E41&amp;F41&amp;G41&amp;H41&amp;I41)</f>
        <v xml:space="preserve">10 IPSC TARGET; </v>
      </c>
      <c r="C41" s="54"/>
      <c r="D41" s="31" t="str">
        <f>IF(D42&lt;&gt;"",D42&amp; " IPSC TARGET; ","")</f>
        <v xml:space="preserve">10 IPSC TARGET; </v>
      </c>
      <c r="E41" s="31" t="str">
        <f>IF(E42&lt;&gt;"",E42&amp;" IPSC Mini Target; ","")</f>
        <v/>
      </c>
      <c r="F41" s="31" t="str">
        <f>IF(F42&lt;&gt;"",F42&amp;" IPSC Popper; ","")</f>
        <v/>
      </c>
      <c r="G41" s="31" t="str">
        <f>IF(G42&lt;&gt;"",G42&amp;" IPSC Mini Popper; ","")</f>
        <v/>
      </c>
      <c r="H41" s="31" t="str">
        <f>IF(H42&lt;&gt;"",H42&amp;" Plates; ","")</f>
        <v/>
      </c>
      <c r="I41" s="31" t="str">
        <f>IF(I42&lt;&gt;"",I42&amp;" Clay; ","")</f>
        <v/>
      </c>
    </row>
    <row r="42" spans="1:9" x14ac:dyDescent="0.25">
      <c r="A42" s="23" t="s">
        <v>8</v>
      </c>
      <c r="B42" s="24" t="str">
        <f>UPPER(VLOOKUP(B39,PistasRF!$A$6:$V$18,4,FALSE))</f>
        <v>20</v>
      </c>
      <c r="C42" s="26"/>
      <c r="D42" s="32">
        <f>IF(VLOOKUP(B39,PistasRF!$A$6:$U$18,6,FALSE)=0,"",VLOOKUP(B39,PistasRF!$A$6:$U$18,6,FALSE))</f>
        <v>10</v>
      </c>
      <c r="E42" s="32" t="str">
        <f>IF(VLOOKUP(B39,PistasRF!$A$6:$U$18,8,FALSE)=0,"",VLOOKUP(B39,PistasRF!$A$6:$U$18,8,FALSE))</f>
        <v/>
      </c>
      <c r="F42" s="32" t="str">
        <f>IF(VLOOKUP(B39,PistasRF!$A$6:$U$18,10,FALSE)=0,"",VLOOKUP(B39,PistasRF!$A$6:$U$18,10,FALSE))</f>
        <v/>
      </c>
      <c r="G42" s="32" t="str">
        <f>IF(VLOOKUP(B39,PistasRF!$A$6:$U$18,12,FALSE)=0,"",VLOOKUP(B39,PistasRF!$A$6:$U$18,12,FALSE))</f>
        <v/>
      </c>
      <c r="H42" s="32" t="str">
        <f>IF(VLOOKUP(B39,PistasRF!$A$6:$T$18,14,FALSE)=0,"",VLOOKUP(B39,PistasRF!$A$6:$T$18,14,FALSE))</f>
        <v/>
      </c>
      <c r="I42" s="32" t="str">
        <f>IF(VLOOKUP(B39,PistasRF!$A$6:$U$18,16,FALSE)=0,"",VLOOKUP(B39,PistasRF!$A$6:$U$18,16,FALSE))</f>
        <v/>
      </c>
    </row>
    <row r="43" spans="1:9" x14ac:dyDescent="0.25">
      <c r="A43" s="25" t="s">
        <v>46</v>
      </c>
      <c r="B43" s="24">
        <f>(VLOOKUP(B39,PistasRF!$A$6:$V$18,5,FALSE))</f>
        <v>0</v>
      </c>
      <c r="E43" s="78"/>
      <c r="F43" s="78"/>
      <c r="G43" s="78"/>
      <c r="H43" s="78"/>
      <c r="I43" s="1"/>
    </row>
    <row r="44" spans="1:9" x14ac:dyDescent="0.25">
      <c r="A44" s="23" t="s">
        <v>10</v>
      </c>
      <c r="B44" s="24" t="str">
        <f>UPPER(VLOOKUP(B39,PistasRF!$A$6:$V$18,3,FALSE))</f>
        <v>100</v>
      </c>
      <c r="C44" s="52"/>
      <c r="D44" s="52"/>
      <c r="E44" s="52"/>
      <c r="F44" s="52"/>
      <c r="G44" s="52"/>
      <c r="H44" s="52"/>
      <c r="I44" s="1"/>
    </row>
    <row r="45" spans="1:9" x14ac:dyDescent="0.25">
      <c r="A45" s="23" t="s">
        <v>11</v>
      </c>
      <c r="B45" s="24" t="str">
        <f>UPPER(VLOOKUP(B39,PistasRF!$A$6:$V$18,18,FALSE))</f>
        <v>8.1.2 - OPTION 2</v>
      </c>
      <c r="D45" s="33"/>
      <c r="E45" s="30"/>
      <c r="F45" s="30"/>
      <c r="G45" s="30"/>
      <c r="H45" s="30"/>
      <c r="I45" s="30"/>
    </row>
    <row r="46" spans="1:9" ht="47.25" x14ac:dyDescent="0.25">
      <c r="A46" s="23" t="s">
        <v>12</v>
      </c>
      <c r="B46" s="24" t="str">
        <f>(VLOOKUP(B39,PistasRF!$A$6:$V$18,19,FALSE))</f>
        <v>Standing erect, relaxed, heels touching the start line. Shotgun at the table mark.
Em pé, ereto e relaxado, calcanhares tocando a start line. Shotgun na marca sobre a mesa.</v>
      </c>
      <c r="C46" s="51"/>
      <c r="D46" s="51"/>
      <c r="E46" s="30"/>
      <c r="F46" s="30"/>
      <c r="G46" s="30"/>
      <c r="H46" s="30"/>
      <c r="I46" s="30"/>
    </row>
    <row r="47" spans="1:9" ht="31.5" x14ac:dyDescent="0.25">
      <c r="A47" s="23" t="s">
        <v>13</v>
      </c>
      <c r="B47" s="24" t="str">
        <f>VLOOKUP(B39,PistasRF!$A$6:$V$18,20,FALSE)</f>
        <v>Audible signal/
Sinal Audível</v>
      </c>
      <c r="C47" s="52"/>
      <c r="D47" s="51"/>
      <c r="E47" s="51"/>
      <c r="F47" s="51"/>
      <c r="G47" s="51"/>
      <c r="H47" s="51"/>
      <c r="I47" s="1"/>
    </row>
    <row r="48" spans="1:9" ht="31.5" x14ac:dyDescent="0.25">
      <c r="A48" s="23" t="s">
        <v>14</v>
      </c>
      <c r="B48" s="24" t="str">
        <f>(VLOOKUP(B39,PistasRF!$A$6:$V$18,21,FALSE))</f>
        <v>At the start signal engage targets from whithin the designated area. 
Ao sinal de partida engajar os alvos na área designada.</v>
      </c>
      <c r="C48" s="52"/>
      <c r="D48" s="51"/>
      <c r="E48" s="51"/>
      <c r="F48" s="51"/>
      <c r="G48" s="51"/>
      <c r="H48" s="51"/>
      <c r="I48" s="1"/>
    </row>
    <row r="49" spans="1:9" x14ac:dyDescent="0.25">
      <c r="A49" s="23" t="s">
        <v>55</v>
      </c>
      <c r="B49" s="24" t="str">
        <f>(VLOOKUP(B39,PistasRF!$A$6:$V$18,22,FALSE))</f>
        <v>Para Puma Standard somente 1 disparo por alvo</v>
      </c>
      <c r="C49" s="41"/>
      <c r="D49" s="40"/>
      <c r="E49" s="40"/>
      <c r="F49" s="40"/>
      <c r="G49" s="40"/>
      <c r="H49" s="40"/>
      <c r="I49" s="1"/>
    </row>
    <row r="50" spans="1:9" x14ac:dyDescent="0.25">
      <c r="A50" s="43"/>
      <c r="B50" s="44"/>
      <c r="C50" s="20"/>
      <c r="D50" s="30"/>
      <c r="E50" s="30"/>
      <c r="F50" s="30"/>
      <c r="G50" s="30"/>
      <c r="H50" s="30"/>
      <c r="I50" s="30"/>
    </row>
    <row r="51" spans="1:9" x14ac:dyDescent="0.25">
      <c r="A51" s="23" t="s">
        <v>56</v>
      </c>
      <c r="B51" s="22">
        <v>5</v>
      </c>
      <c r="D51" s="30"/>
      <c r="E51" s="30"/>
      <c r="F51" s="30"/>
      <c r="G51" s="30"/>
      <c r="H51" s="30"/>
      <c r="I51" s="30"/>
    </row>
    <row r="52" spans="1:9" x14ac:dyDescent="0.25">
      <c r="A52" s="23" t="s">
        <v>6</v>
      </c>
      <c r="B52" s="24" t="str">
        <f>UPPER(VLOOKUP(B51,PistasRF!$A$6:$V$18,17,FALSE))</f>
        <v>LONG/LONGA</v>
      </c>
      <c r="C52" s="21"/>
    </row>
    <row r="53" spans="1:9" x14ac:dyDescent="0.25">
      <c r="A53" s="23" t="s">
        <v>7</v>
      </c>
      <c r="B53" s="24" t="str">
        <f>UPPER(D53&amp;E53&amp;F53&amp;G53&amp;H53&amp;I53)</f>
        <v xml:space="preserve">10 IPSC TARGET; 7 IPSC MINI TARGET; </v>
      </c>
      <c r="C53" s="54"/>
      <c r="D53" s="31" t="str">
        <f>IF(D54&lt;&gt;"",D54&amp; " IPSC TARGET; ","")</f>
        <v xml:space="preserve">10 IPSC TARGET; </v>
      </c>
      <c r="E53" s="31" t="str">
        <f>IF(E54&lt;&gt;"",E54&amp;" IPSC Mini Target; ","")</f>
        <v xml:space="preserve">7 IPSC Mini Target; </v>
      </c>
      <c r="F53" s="31" t="str">
        <f>IF(F54&lt;&gt;"",F54&amp;" IPSC Popper; ","")</f>
        <v/>
      </c>
      <c r="G53" s="31" t="str">
        <f>IF(G54&lt;&gt;"",G54&amp;" IPSC Mini Popper; ","")</f>
        <v/>
      </c>
      <c r="H53" s="31" t="str">
        <f>IF(H54&lt;&gt;"",H54&amp;" Plates; ","")</f>
        <v/>
      </c>
      <c r="I53" s="31" t="str">
        <f>IF(I54&lt;&gt;"",I54&amp;" Clay; ","")</f>
        <v/>
      </c>
    </row>
    <row r="54" spans="1:9" x14ac:dyDescent="0.25">
      <c r="A54" s="23" t="s">
        <v>8</v>
      </c>
      <c r="B54" s="24" t="str">
        <f>UPPER(VLOOKUP(B51,PistasRF!$A$6:$V$18,4,FALSE))</f>
        <v>34</v>
      </c>
      <c r="C54" s="26"/>
      <c r="D54" s="32">
        <f>IF(VLOOKUP(B51,PistasRF!$A$6:$U$18,6,FALSE)=0,"",VLOOKUP(B51,PistasRF!$A$6:$U$18,6,FALSE))</f>
        <v>10</v>
      </c>
      <c r="E54" s="32">
        <f>IF(VLOOKUP(B51,PistasRF!$A$6:$U$18,8,FALSE)=0,"",VLOOKUP(B51,PistasRF!$A$6:$U$18,8,FALSE))</f>
        <v>7</v>
      </c>
      <c r="F54" s="32" t="str">
        <f>IF(VLOOKUP(B51,PistasRF!$A$6:$U$18,10,FALSE)=0,"",VLOOKUP(B51,PistasRF!$A$6:$U$18,10,FALSE))</f>
        <v/>
      </c>
      <c r="G54" s="32" t="str">
        <f>IF(VLOOKUP(B51,PistasRF!$A$6:$U$18,12,FALSE)=0,"",VLOOKUP(B51,PistasRF!$A$6:$U$18,12,FALSE))</f>
        <v/>
      </c>
      <c r="H54" s="32" t="str">
        <f>IF(VLOOKUP(B51,PistasRF!$A$6:$T$18,14,FALSE)=0,"",VLOOKUP(B51,PistasRF!$A$6:$T$18,14,FALSE))</f>
        <v/>
      </c>
      <c r="I54" s="32" t="str">
        <f>IF(VLOOKUP(B51,PistasRF!$A$6:$U$18,16,FALSE)=0,"",VLOOKUP(B51,PistasRF!$A$6:$U$18,16,FALSE))</f>
        <v/>
      </c>
    </row>
    <row r="55" spans="1:9" x14ac:dyDescent="0.25">
      <c r="A55" s="25" t="s">
        <v>46</v>
      </c>
      <c r="B55" s="24">
        <f>(VLOOKUP(B51,PistasRF!$A$6:$V$18,5,FALSE))</f>
        <v>0</v>
      </c>
      <c r="E55" s="78"/>
      <c r="F55" s="78"/>
      <c r="G55" s="78"/>
      <c r="H55" s="78"/>
      <c r="I55" s="1"/>
    </row>
    <row r="56" spans="1:9" x14ac:dyDescent="0.25">
      <c r="A56" s="23" t="s">
        <v>10</v>
      </c>
      <c r="B56" s="24" t="str">
        <f>UPPER(VLOOKUP(B51,PistasRF!$A$6:$V$18,3,FALSE))</f>
        <v>170</v>
      </c>
      <c r="C56" s="52"/>
      <c r="D56" s="52"/>
      <c r="E56" s="52"/>
      <c r="F56" s="52"/>
      <c r="G56" s="52"/>
      <c r="H56" s="52"/>
      <c r="I56" s="1"/>
    </row>
    <row r="57" spans="1:9" x14ac:dyDescent="0.25">
      <c r="A57" s="23" t="s">
        <v>11</v>
      </c>
      <c r="B57" s="24" t="str">
        <f>UPPER(VLOOKUP(B51,PistasRF!$A$6:$V$18,18,FALSE))</f>
        <v>8.1.1 - OPTION 1</v>
      </c>
      <c r="D57" s="33"/>
      <c r="E57" s="30"/>
      <c r="F57" s="30"/>
      <c r="G57" s="30"/>
      <c r="H57" s="30"/>
      <c r="I57" s="30"/>
    </row>
    <row r="58" spans="1:9" ht="94.5" x14ac:dyDescent="0.25">
      <c r="A58" s="23" t="s">
        <v>12</v>
      </c>
      <c r="B58" s="24" t="str">
        <f>(VLOOKUP(B51,PistasRF!$A$6:$V$18,19,FALSE))</f>
        <v>Standing erect, relaxed, heels touching the start line, Rifle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v>
      </c>
      <c r="C58" s="51"/>
      <c r="D58" s="51"/>
      <c r="E58" s="30"/>
      <c r="F58" s="30"/>
      <c r="G58" s="30"/>
      <c r="H58" s="30"/>
      <c r="I58" s="30"/>
    </row>
    <row r="59" spans="1:9" ht="31.5" x14ac:dyDescent="0.25">
      <c r="A59" s="23" t="s">
        <v>13</v>
      </c>
      <c r="B59" s="24" t="str">
        <f>VLOOKUP(B51,PistasRF!$A$6:$V$18,20,FALSE)</f>
        <v>Audible signal/
Sinal Audível</v>
      </c>
      <c r="C59" s="52"/>
      <c r="D59" s="51"/>
      <c r="E59" s="51"/>
      <c r="F59" s="51"/>
      <c r="G59" s="51"/>
      <c r="H59" s="51"/>
      <c r="I59" s="1"/>
    </row>
    <row r="60" spans="1:9" ht="31.5" x14ac:dyDescent="0.25">
      <c r="A60" s="23" t="s">
        <v>14</v>
      </c>
      <c r="B60" s="24" t="str">
        <f>(VLOOKUP(B51,PistasRF!$A$6:$V$18,21,FALSE))</f>
        <v>At the start signal engage targets from whithin the designated area. 
Ao sinal de partida engajar os alvos na área designada</v>
      </c>
      <c r="C60" s="52"/>
      <c r="D60" s="51"/>
      <c r="E60" s="51"/>
      <c r="F60" s="51"/>
      <c r="G60" s="51"/>
      <c r="H60" s="51"/>
      <c r="I60" s="1"/>
    </row>
    <row r="61" spans="1:9" x14ac:dyDescent="0.25">
      <c r="A61" s="23" t="s">
        <v>55</v>
      </c>
      <c r="B61" s="24" t="str">
        <f>(VLOOKUP(B51,PistasRF!$A$6:$V$18,22,FALSE))</f>
        <v>Para Puma Standard somente 1 disparo por alvo</v>
      </c>
      <c r="C61" s="58"/>
      <c r="D61" s="57"/>
      <c r="E61" s="57"/>
      <c r="F61" s="57"/>
      <c r="G61" s="57"/>
      <c r="H61" s="57"/>
      <c r="I61" s="1"/>
    </row>
    <row r="62" spans="1:9" x14ac:dyDescent="0.25">
      <c r="A62" s="43"/>
      <c r="B62" s="44"/>
      <c r="C62" s="20"/>
      <c r="D62" s="30"/>
      <c r="E62" s="30"/>
      <c r="F62" s="30"/>
      <c r="G62" s="30"/>
      <c r="H62" s="30"/>
      <c r="I62" s="30"/>
    </row>
    <row r="63" spans="1:9" x14ac:dyDescent="0.25">
      <c r="A63" s="23" t="s">
        <v>56</v>
      </c>
      <c r="B63" s="22">
        <v>6</v>
      </c>
      <c r="D63" s="30"/>
      <c r="E63" s="30"/>
      <c r="F63" s="30"/>
      <c r="G63" s="30"/>
      <c r="H63" s="30"/>
      <c r="I63" s="30"/>
    </row>
    <row r="64" spans="1:9" x14ac:dyDescent="0.25">
      <c r="A64" s="23" t="s">
        <v>6</v>
      </c>
      <c r="B64" s="24" t="str">
        <f>UPPER(VLOOKUP(B63,PistasRF!$A$6:$V$18,17,FALSE))</f>
        <v>MEDIUM/MÉDIA</v>
      </c>
      <c r="C64" s="21"/>
    </row>
    <row r="65" spans="1:9" x14ac:dyDescent="0.25">
      <c r="A65" s="23" t="s">
        <v>7</v>
      </c>
      <c r="B65" s="24" t="str">
        <f>UPPER(D65&amp;E65&amp;F65&amp;G65&amp;H65&amp;I65)</f>
        <v xml:space="preserve">10 IPSC TARGET; </v>
      </c>
      <c r="C65" s="54"/>
      <c r="D65" s="31" t="str">
        <f>IF(D66&lt;&gt;"",D66&amp; " IPSC TARGET; ","")</f>
        <v xml:space="preserve">10 IPSC TARGET; </v>
      </c>
      <c r="E65" s="31" t="str">
        <f>IF(E66&lt;&gt;"",E66&amp;" IPSC Mini Target; ","")</f>
        <v/>
      </c>
      <c r="F65" s="31" t="str">
        <f>IF(F66&lt;&gt;"",F66&amp;" IPSC Popper; ","")</f>
        <v/>
      </c>
      <c r="G65" s="31" t="str">
        <f>IF(G66&lt;&gt;"",G66&amp;" IPSC Mini Popper; ","")</f>
        <v/>
      </c>
      <c r="H65" s="31" t="str">
        <f>IF(H66&lt;&gt;"",H66&amp;" Plates; ","")</f>
        <v/>
      </c>
      <c r="I65" s="31" t="str">
        <f>IF(I66&lt;&gt;"",I66&amp;" Clay; ","")</f>
        <v/>
      </c>
    </row>
    <row r="66" spans="1:9" x14ac:dyDescent="0.25">
      <c r="A66" s="23" t="s">
        <v>8</v>
      </c>
      <c r="B66" s="24" t="str">
        <f>UPPER(VLOOKUP(B63,PistasRF!$A$6:$V$18,4,FALSE))</f>
        <v>20</v>
      </c>
      <c r="C66" s="26"/>
      <c r="D66" s="32">
        <f>IF(VLOOKUP(B63,PistasRF!$A$6:$U$18,6,FALSE)=0,"",VLOOKUP(B63,PistasRF!$A$6:$U$18,6,FALSE))</f>
        <v>10</v>
      </c>
      <c r="E66" s="32" t="str">
        <f>IF(VLOOKUP(B63,PistasRF!$A$6:$U$18,8,FALSE)=0,"",VLOOKUP(B63,PistasRF!$A$6:$U$18,8,FALSE))</f>
        <v/>
      </c>
      <c r="F66" s="32" t="str">
        <f>IF(VLOOKUP(B63,PistasRF!$A$6:$U$18,10,FALSE)=0,"",VLOOKUP(B63,PistasRF!$A$6:$U$18,10,FALSE))</f>
        <v/>
      </c>
      <c r="G66" s="32" t="str">
        <f>IF(VLOOKUP(B63,PistasRF!$A$6:$U$18,12,FALSE)=0,"",VLOOKUP(B63,PistasRF!$A$6:$U$18,12,FALSE))</f>
        <v/>
      </c>
      <c r="H66" s="32" t="str">
        <f>IF(VLOOKUP(B63,PistasRF!$A$6:$T$18,14,FALSE)=0,"",VLOOKUP(B63,PistasRF!$A$6:$T$18,14,FALSE))</f>
        <v/>
      </c>
      <c r="I66" s="32" t="str">
        <f>IF(VLOOKUP(B63,PistasRF!$A$6:$U$18,16,FALSE)=0,"",VLOOKUP(B63,PistasRF!$A$6:$U$18,16,FALSE))</f>
        <v/>
      </c>
    </row>
    <row r="67" spans="1:9" x14ac:dyDescent="0.25">
      <c r="A67" s="25" t="s">
        <v>46</v>
      </c>
      <c r="B67" s="24">
        <f>(VLOOKUP(B63,PistasRF!$A$6:$V$18,5,FALSE))</f>
        <v>0</v>
      </c>
      <c r="E67" s="78"/>
      <c r="F67" s="78"/>
      <c r="G67" s="78"/>
      <c r="H67" s="78"/>
      <c r="I67" s="1"/>
    </row>
    <row r="68" spans="1:9" x14ac:dyDescent="0.25">
      <c r="A68" s="23" t="s">
        <v>10</v>
      </c>
      <c r="B68" s="24" t="str">
        <f>UPPER(VLOOKUP(B63,PistasRF!$A$6:$V$18,3,FALSE))</f>
        <v>100</v>
      </c>
      <c r="C68" s="52"/>
      <c r="D68" s="52"/>
      <c r="E68" s="52"/>
      <c r="F68" s="52"/>
      <c r="G68" s="52"/>
      <c r="H68" s="52"/>
      <c r="I68" s="1"/>
    </row>
    <row r="69" spans="1:9" x14ac:dyDescent="0.25">
      <c r="A69" s="23" t="s">
        <v>11</v>
      </c>
      <c r="B69" s="24" t="str">
        <f>UPPER(VLOOKUP(B63,PistasRF!$A$6:$V$18,18,FALSE))</f>
        <v>8.1.2 - OPTION 2</v>
      </c>
      <c r="D69" s="33"/>
      <c r="E69" s="30"/>
      <c r="F69" s="30"/>
      <c r="G69" s="30"/>
      <c r="H69" s="30"/>
      <c r="I69" s="30"/>
    </row>
    <row r="70" spans="1:9" ht="94.5" x14ac:dyDescent="0.25">
      <c r="A70" s="23" t="s">
        <v>12</v>
      </c>
      <c r="B70" s="24" t="str">
        <f>(VLOOKUP(B63,PistasRF!$A$6:$V$18,19,FALSE))</f>
        <v>Standing erect, relaxed, heels touching the start line, Rifle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v>
      </c>
      <c r="C70" s="51"/>
      <c r="D70" s="51"/>
      <c r="E70" s="30"/>
      <c r="F70" s="30"/>
      <c r="G70" s="30"/>
      <c r="H70" s="30"/>
      <c r="I70" s="30"/>
    </row>
    <row r="71" spans="1:9" ht="31.5" x14ac:dyDescent="0.25">
      <c r="A71" s="23" t="s">
        <v>13</v>
      </c>
      <c r="B71" s="24" t="str">
        <f>VLOOKUP(B63,PistasRF!$A$6:$V$18,20,FALSE)</f>
        <v>Audible signal/
Sinal Audível</v>
      </c>
      <c r="C71" s="52"/>
      <c r="D71" s="51"/>
      <c r="E71" s="51"/>
      <c r="F71" s="51"/>
      <c r="G71" s="51"/>
      <c r="H71" s="51"/>
      <c r="I71" s="1"/>
    </row>
    <row r="72" spans="1:9" ht="31.5" x14ac:dyDescent="0.25">
      <c r="A72" s="23" t="s">
        <v>14</v>
      </c>
      <c r="B72" s="24" t="str">
        <f>(VLOOKUP(B63,PistasRF!$A$6:$V$18,21,FALSE))</f>
        <v>At the start signal engage targets from whithin the designated area. 
Ao sinal de partida engajar os alvos na área designada.</v>
      </c>
      <c r="C72" s="52"/>
      <c r="D72" s="51"/>
      <c r="E72" s="51"/>
      <c r="F72" s="51"/>
      <c r="G72" s="51"/>
      <c r="H72" s="51"/>
      <c r="I72" s="1"/>
    </row>
    <row r="73" spans="1:9" x14ac:dyDescent="0.25">
      <c r="A73" s="23" t="s">
        <v>55</v>
      </c>
      <c r="B73" s="24" t="str">
        <f>(VLOOKUP(B63,PistasRF!$A$6:$V$18,22,FALSE))</f>
        <v>Para Puma Standard somente 1 disparo por alvo</v>
      </c>
      <c r="C73" s="58"/>
      <c r="D73" s="57"/>
      <c r="E73" s="57"/>
      <c r="F73" s="57"/>
      <c r="G73" s="57"/>
      <c r="H73" s="57"/>
      <c r="I73" s="1"/>
    </row>
    <row r="74" spans="1:9" x14ac:dyDescent="0.25">
      <c r="A74" s="43"/>
      <c r="B74" s="44"/>
      <c r="C74" s="20"/>
      <c r="D74" s="30"/>
      <c r="E74" s="30"/>
      <c r="F74" s="30"/>
      <c r="G74" s="30"/>
      <c r="H74" s="30"/>
      <c r="I74" s="30"/>
    </row>
    <row r="75" spans="1:9" x14ac:dyDescent="0.25">
      <c r="A75" s="23" t="s">
        <v>56</v>
      </c>
      <c r="B75" s="22">
        <v>7</v>
      </c>
      <c r="D75" s="30"/>
      <c r="E75" s="30"/>
      <c r="F75" s="30"/>
      <c r="G75" s="30"/>
      <c r="H75" s="30"/>
      <c r="I75" s="30"/>
    </row>
    <row r="76" spans="1:9" x14ac:dyDescent="0.25">
      <c r="A76" s="23" t="s">
        <v>6</v>
      </c>
      <c r="B76" s="24" t="str">
        <f>UPPER(VLOOKUP(B75,PistasRF!$A$6:$V$18,17,FALSE))</f>
        <v>MEDIUM/MÉDIA</v>
      </c>
      <c r="C76" s="21"/>
    </row>
    <row r="77" spans="1:9" x14ac:dyDescent="0.25">
      <c r="A77" s="23" t="s">
        <v>7</v>
      </c>
      <c r="B77" s="24" t="str">
        <f>UPPER(D77&amp;E77&amp;F77&amp;G77&amp;H77&amp;I77)</f>
        <v xml:space="preserve">4 IPSC TARGET; 6 IPSC MINI TARGET; </v>
      </c>
      <c r="C77" s="54"/>
      <c r="D77" s="31" t="str">
        <f>IF(D78&lt;&gt;"",D78&amp; " IPSC TARGET; ","")</f>
        <v xml:space="preserve">4 IPSC TARGET; </v>
      </c>
      <c r="E77" s="31" t="str">
        <f>IF(E78&lt;&gt;"",E78&amp;" IPSC Mini Target; ","")</f>
        <v xml:space="preserve">6 IPSC Mini Target; </v>
      </c>
      <c r="F77" s="31" t="str">
        <f>IF(F78&lt;&gt;"",F78&amp;" IPSC Popper; ","")</f>
        <v/>
      </c>
      <c r="G77" s="31" t="str">
        <f>IF(G78&lt;&gt;"",G78&amp;" IPSC Mini Popper; ","")</f>
        <v/>
      </c>
      <c r="H77" s="31" t="str">
        <f>IF(H78&lt;&gt;"",H78&amp;" Plates; ","")</f>
        <v/>
      </c>
      <c r="I77" s="31" t="str">
        <f>IF(I78&lt;&gt;"",I78&amp;" Clay; ","")</f>
        <v/>
      </c>
    </row>
    <row r="78" spans="1:9" x14ac:dyDescent="0.25">
      <c r="A78" s="23" t="s">
        <v>8</v>
      </c>
      <c r="B78" s="24" t="str">
        <f>UPPER(VLOOKUP(B75,PistasRF!$A$6:$V$18,4,FALSE))</f>
        <v>20</v>
      </c>
      <c r="C78" s="26"/>
      <c r="D78" s="32">
        <f>IF(VLOOKUP(B75,PistasRF!$A$6:$U$18,6,FALSE)=0,"",VLOOKUP(B75,PistasRF!$A$6:$U$18,6,FALSE))</f>
        <v>4</v>
      </c>
      <c r="E78" s="32">
        <f>IF(VLOOKUP(B75,PistasRF!$A$6:$U$18,8,FALSE)=0,"",VLOOKUP(B75,PistasRF!$A$6:$U$18,8,FALSE))</f>
        <v>6</v>
      </c>
      <c r="F78" s="32" t="str">
        <f>IF(VLOOKUP(B75,PistasRF!$A$6:$U$18,10,FALSE)=0,"",VLOOKUP(B75,PistasRF!$A$6:$U$18,10,FALSE))</f>
        <v/>
      </c>
      <c r="G78" s="32" t="str">
        <f>IF(VLOOKUP(B75,PistasRF!$A$6:$U$18,12,FALSE)=0,"",VLOOKUP(B75,PistasRF!$A$6:$U$18,12,FALSE))</f>
        <v/>
      </c>
      <c r="H78" s="32" t="str">
        <f>IF(VLOOKUP(B75,PistasRF!$A$6:$T$18,14,FALSE)=0,"",VLOOKUP(B75,PistasRF!$A$6:$T$18,14,FALSE))</f>
        <v/>
      </c>
      <c r="I78" s="32" t="str">
        <f>IF(VLOOKUP(B75,PistasRF!$A$6:$U$18,16,FALSE)=0,"",VLOOKUP(B75,PistasRF!$A$6:$U$18,16,FALSE))</f>
        <v/>
      </c>
    </row>
    <row r="79" spans="1:9" x14ac:dyDescent="0.25">
      <c r="A79" s="25" t="s">
        <v>46</v>
      </c>
      <c r="B79" s="24">
        <f>(VLOOKUP(B75,PistasRF!$A$6:$V$18,5,FALSE))</f>
        <v>0</v>
      </c>
      <c r="E79" s="78"/>
      <c r="F79" s="78"/>
      <c r="G79" s="78"/>
      <c r="H79" s="78"/>
      <c r="I79" s="1"/>
    </row>
    <row r="80" spans="1:9" x14ac:dyDescent="0.25">
      <c r="A80" s="23" t="s">
        <v>10</v>
      </c>
      <c r="B80" s="24" t="str">
        <f>UPPER(VLOOKUP(B75,PistasRF!$A$6:$V$18,3,FALSE))</f>
        <v>100</v>
      </c>
      <c r="C80" s="52"/>
      <c r="D80" s="52"/>
      <c r="E80" s="52"/>
      <c r="F80" s="52"/>
      <c r="G80" s="52"/>
      <c r="H80" s="52"/>
      <c r="I80" s="1"/>
    </row>
    <row r="81" spans="1:9" x14ac:dyDescent="0.25">
      <c r="A81" s="23" t="s">
        <v>11</v>
      </c>
      <c r="B81" s="24" t="str">
        <f>UPPER(VLOOKUP(B75,PistasRF!$A$6:$V$18,18,FALSE))</f>
        <v>8.1.1 - OPTION 1</v>
      </c>
      <c r="D81" s="33"/>
      <c r="E81" s="30"/>
      <c r="F81" s="30"/>
      <c r="G81" s="30"/>
      <c r="H81" s="30"/>
      <c r="I81" s="30"/>
    </row>
    <row r="82" spans="1:9" ht="94.5" x14ac:dyDescent="0.25">
      <c r="A82" s="23" t="s">
        <v>12</v>
      </c>
      <c r="B82" s="24" t="str">
        <f>(VLOOKUP(B75,PistasRF!$A$6:$V$18,19,FALSE))</f>
        <v>Standing erect, relaxed, toes touching the start line, shotgun held with both hands, stock touching the hip level,  trigger guard downwards, muzzle pointing downrange, fingers outside trigger guard.
Em pé, ereto e relaxado, calcanhares tocando uma das start line, Rifle seguro com ambas as mãos, tocando na altura do quadril, em direção ao parabalas, gatilho para baixo, dedos fora do guarda mato, Face para Downrange, conforme demonstrado.</v>
      </c>
      <c r="C82" s="51"/>
      <c r="D82" s="51"/>
      <c r="E82" s="30"/>
      <c r="F82" s="30"/>
      <c r="G82" s="30"/>
      <c r="H82" s="30"/>
      <c r="I82" s="30"/>
    </row>
    <row r="83" spans="1:9" ht="31.5" x14ac:dyDescent="0.25">
      <c r="A83" s="23" t="s">
        <v>13</v>
      </c>
      <c r="B83" s="24" t="str">
        <f>VLOOKUP(B75,PistasRF!$A$6:$V$18,20,FALSE)</f>
        <v>Audible signal/
Sinal Audível</v>
      </c>
      <c r="C83" s="52"/>
      <c r="D83" s="51"/>
      <c r="E83" s="51"/>
      <c r="F83" s="51"/>
      <c r="G83" s="51"/>
      <c r="H83" s="51"/>
      <c r="I83" s="1"/>
    </row>
    <row r="84" spans="1:9" ht="31.5" x14ac:dyDescent="0.25">
      <c r="A84" s="23" t="s">
        <v>14</v>
      </c>
      <c r="B84" s="24" t="str">
        <f>(VLOOKUP(B75,PistasRF!$A$6:$V$18,21,FALSE))</f>
        <v>At the start signal engage targets from whithin the designated area. 
Ao sinal de partida engajar os alvos na área designada.</v>
      </c>
      <c r="C84" s="52"/>
      <c r="D84" s="51"/>
      <c r="E84" s="51"/>
      <c r="F84" s="51"/>
      <c r="G84" s="51"/>
      <c r="H84" s="51"/>
      <c r="I84" s="1"/>
    </row>
    <row r="85" spans="1:9" x14ac:dyDescent="0.25">
      <c r="A85" s="23" t="s">
        <v>55</v>
      </c>
      <c r="B85" s="24" t="str">
        <f>(VLOOKUP(B75,PistasRF!$A$6:$V$18,22,FALSE))</f>
        <v>Para Puma Standard somente 1 disparo por alvo</v>
      </c>
      <c r="C85" s="58"/>
      <c r="D85" s="57"/>
      <c r="E85" s="57"/>
      <c r="F85" s="57"/>
      <c r="G85" s="57"/>
      <c r="H85" s="57"/>
      <c r="I85" s="1"/>
    </row>
    <row r="86" spans="1:9" x14ac:dyDescent="0.25">
      <c r="A86" s="43"/>
      <c r="B86" s="44"/>
      <c r="C86" s="20"/>
      <c r="D86" s="30"/>
      <c r="E86" s="30"/>
      <c r="F86" s="30"/>
      <c r="G86" s="30"/>
      <c r="H86" s="30"/>
      <c r="I86" s="30"/>
    </row>
    <row r="87" spans="1:9" x14ac:dyDescent="0.25">
      <c r="A87" s="23" t="s">
        <v>56</v>
      </c>
      <c r="B87" s="22">
        <v>8</v>
      </c>
      <c r="D87" s="30"/>
      <c r="E87" s="30"/>
      <c r="F87" s="30"/>
      <c r="G87" s="30"/>
      <c r="H87" s="30"/>
      <c r="I87" s="30"/>
    </row>
    <row r="88" spans="1:9" x14ac:dyDescent="0.25">
      <c r="A88" s="23" t="s">
        <v>6</v>
      </c>
      <c r="B88" s="24" t="str">
        <f>UPPER(VLOOKUP(B87,PistasRF!$A$6:$V$18,17,FALSE))</f>
        <v>SHORT/CURTA</v>
      </c>
      <c r="C88" s="21"/>
    </row>
    <row r="89" spans="1:9" x14ac:dyDescent="0.25">
      <c r="A89" s="23" t="s">
        <v>7</v>
      </c>
      <c r="B89" s="24" t="str">
        <f>UPPER(D89&amp;E89&amp;F89&amp;G89&amp;H89&amp;I89)</f>
        <v xml:space="preserve">5 IPSC A4 TARGET; </v>
      </c>
      <c r="C89" s="54"/>
      <c r="D89" s="31" t="str">
        <f>IF(D90&lt;&gt;"",D90&amp; " IPSC TARGET; ","")</f>
        <v/>
      </c>
      <c r="E89" s="31" t="str">
        <f>IF(E90&lt;&gt;"",E90&amp;" IPSC A4 Target; ","")</f>
        <v xml:space="preserve">5 IPSC A4 Target; </v>
      </c>
      <c r="F89" s="31" t="str">
        <f>IF(F90&lt;&gt;"",F90&amp;" IPSC Popper; ","")</f>
        <v/>
      </c>
      <c r="G89" s="31" t="str">
        <f>IF(G90&lt;&gt;"",G90&amp;" IPSC Mini Popper; ","")</f>
        <v/>
      </c>
      <c r="H89" s="31" t="str">
        <f>IF(H90&lt;&gt;"",H90&amp;" Plates; ","")</f>
        <v/>
      </c>
      <c r="I89" s="31" t="str">
        <f>IF(I90&lt;&gt;"",I90&amp;" Clay; ","")</f>
        <v/>
      </c>
    </row>
    <row r="90" spans="1:9" x14ac:dyDescent="0.25">
      <c r="A90" s="23" t="s">
        <v>8</v>
      </c>
      <c r="B90" s="24" t="str">
        <f>UPPER(VLOOKUP(B87,PistasRF!$A$6:$V$18,4,FALSE))</f>
        <v>10</v>
      </c>
      <c r="C90" s="26"/>
      <c r="D90" s="32" t="str">
        <f>IF(VLOOKUP(B87,PistasRF!$A$6:$U$18,6,FALSE)=0,"",VLOOKUP(B87,PistasRF!$A$6:$U$18,6,FALSE))</f>
        <v/>
      </c>
      <c r="E90" s="32">
        <f>IF(VLOOKUP(B87,PistasRF!$A$6:$U$18,8,FALSE)=0,"",VLOOKUP(B87,PistasRF!$A$6:$U$18,8,FALSE))</f>
        <v>5</v>
      </c>
      <c r="F90" s="32" t="str">
        <f>IF(VLOOKUP(B87,PistasRF!$A$6:$U$18,10,FALSE)=0,"",VLOOKUP(B87,PistasRF!$A$6:$U$18,10,FALSE))</f>
        <v/>
      </c>
      <c r="G90" s="32" t="str">
        <f>IF(VLOOKUP(B87,PistasRF!$A$6:$U$18,12,FALSE)=0,"",VLOOKUP(B87,PistasRF!$A$6:$U$18,12,FALSE))</f>
        <v/>
      </c>
      <c r="H90" s="32" t="str">
        <f>IF(VLOOKUP(B87,PistasRF!$A$6:$T$18,14,FALSE)=0,"",VLOOKUP(B87,PistasRF!$A$6:$T$18,14,FALSE))</f>
        <v/>
      </c>
      <c r="I90" s="32" t="str">
        <f>IF(VLOOKUP(B87,PistasRF!$A$6:$U$18,16,FALSE)=0,"",VLOOKUP(B87,PistasRF!$A$6:$U$18,16,FALSE))</f>
        <v/>
      </c>
    </row>
    <row r="91" spans="1:9" x14ac:dyDescent="0.25">
      <c r="A91" s="25" t="s">
        <v>46</v>
      </c>
      <c r="B91" s="24">
        <f>(VLOOKUP(B87,PistasRF!$A$6:$V$18,5,FALSE))</f>
        <v>0</v>
      </c>
      <c r="E91" s="78"/>
      <c r="F91" s="78"/>
      <c r="G91" s="78"/>
      <c r="H91" s="78"/>
      <c r="I91" s="1"/>
    </row>
    <row r="92" spans="1:9" x14ac:dyDescent="0.25">
      <c r="A92" s="23" t="s">
        <v>10</v>
      </c>
      <c r="B92" s="24" t="str">
        <f>UPPER(VLOOKUP(B87,PistasRF!$A$6:$V$18,3,FALSE))</f>
        <v>50</v>
      </c>
      <c r="C92" s="52"/>
      <c r="D92" s="52"/>
      <c r="E92" s="52"/>
      <c r="F92" s="52"/>
      <c r="G92" s="52"/>
      <c r="H92" s="52"/>
      <c r="I92" s="1"/>
    </row>
    <row r="93" spans="1:9" x14ac:dyDescent="0.25">
      <c r="A93" s="23" t="s">
        <v>11</v>
      </c>
      <c r="B93" s="24" t="str">
        <f>UPPER(VLOOKUP(B87,PistasRF!$A$6:$V$18,18,FALSE))</f>
        <v>8.1.2 - OPTION 2</v>
      </c>
      <c r="D93" s="33"/>
      <c r="E93" s="30"/>
      <c r="F93" s="30"/>
      <c r="G93" s="30"/>
      <c r="H93" s="30"/>
      <c r="I93" s="30"/>
    </row>
    <row r="94" spans="1:9" ht="94.5" x14ac:dyDescent="0.25">
      <c r="A94" s="23" t="s">
        <v>12</v>
      </c>
      <c r="B94" s="24" t="str">
        <f>(VLOOKUP(B87,PistasRF!$A$6:$V$18,19,FALSE))</f>
        <v>Standing erect, relaxed, heels touching the start line, shotgun held with both hands, stock touching the hip level, trigger guard downwards, muzzle pointing downrange, fingers outside trigger guard.
Em pé, ereto e relaxado, calcanhares tocando a start line, Rifle seguro com ambas as mãos, tocando na altura do quadril, em direção ao parabalas, gatilho para baixo, dedos fora do guarda mato, Face para Downrange, conforme demonstrado.</v>
      </c>
      <c r="C94" s="51"/>
      <c r="D94" s="51"/>
      <c r="E94" s="30"/>
      <c r="F94" s="30"/>
      <c r="G94" s="30"/>
      <c r="H94" s="30"/>
      <c r="I94" s="30"/>
    </row>
    <row r="95" spans="1:9" ht="31.5" x14ac:dyDescent="0.25">
      <c r="A95" s="23" t="s">
        <v>13</v>
      </c>
      <c r="B95" s="24" t="str">
        <f>VLOOKUP(B87,PistasRF!$A$6:$V$18,20,FALSE)</f>
        <v>Audible signal/
Sinal Audível</v>
      </c>
      <c r="C95" s="52"/>
      <c r="D95" s="51"/>
      <c r="E95" s="51"/>
      <c r="F95" s="51"/>
      <c r="G95" s="51"/>
      <c r="H95" s="51"/>
      <c r="I95" s="1"/>
    </row>
    <row r="96" spans="1:9" ht="94.5" x14ac:dyDescent="0.25">
      <c r="A96" s="23" t="s">
        <v>14</v>
      </c>
      <c r="B96" s="24" t="str">
        <f>(VLOOKUP(B87,PistasRF!$A$6:$V$18,21,FALSE))</f>
        <v>At the start signal engage targets from whithin the designated area. T3 is activated by opening the door, which must be done by hand and the A4 Target  (T3) will remain visible at rest.
Ao sinal de partida engajar os alvos na área designada. T3 é ativado com a abertura da porta, o que deve ser feito com a mão. O  alvo A4 (T3) permanecerá visível em repouso.</v>
      </c>
      <c r="C96" s="52"/>
      <c r="D96" s="51"/>
      <c r="E96" s="51"/>
      <c r="F96" s="51"/>
      <c r="G96" s="51"/>
      <c r="H96" s="51"/>
      <c r="I96" s="1"/>
    </row>
    <row r="97" spans="1:9" x14ac:dyDescent="0.25">
      <c r="A97" s="23" t="s">
        <v>55</v>
      </c>
      <c r="B97" s="24" t="str">
        <f>(VLOOKUP(B87,PistasRF!$A$6:$V$18,22,FALSE))</f>
        <v>Para Puma Standard somente 1 disparo por alvo</v>
      </c>
      <c r="C97" s="58"/>
      <c r="D97" s="57"/>
      <c r="E97" s="57"/>
      <c r="F97" s="57"/>
      <c r="G97" s="57"/>
      <c r="H97" s="57"/>
      <c r="I97" s="1"/>
    </row>
    <row r="98" spans="1:9" x14ac:dyDescent="0.25">
      <c r="A98" s="43"/>
      <c r="B98" s="44"/>
      <c r="C98" s="20"/>
      <c r="D98" s="30"/>
      <c r="E98" s="30"/>
      <c r="F98" s="30"/>
      <c r="G98" s="30"/>
      <c r="H98" s="30"/>
      <c r="I98" s="30"/>
    </row>
    <row r="99" spans="1:9" x14ac:dyDescent="0.25">
      <c r="A99" s="23" t="s">
        <v>56</v>
      </c>
      <c r="B99" s="22">
        <v>9</v>
      </c>
      <c r="D99" s="30"/>
      <c r="E99" s="30"/>
      <c r="F99" s="30"/>
      <c r="G99" s="30"/>
      <c r="H99" s="30"/>
      <c r="I99" s="30"/>
    </row>
    <row r="100" spans="1:9" x14ac:dyDescent="0.25">
      <c r="A100" s="23" t="s">
        <v>6</v>
      </c>
      <c r="B100" s="24" t="str">
        <f>UPPER(VLOOKUP(B99,PistasRF!$A$6:$V$18,17,FALSE))</f>
        <v>SHORT/CURTA</v>
      </c>
      <c r="C100" s="21"/>
    </row>
    <row r="101" spans="1:9" x14ac:dyDescent="0.25">
      <c r="A101" s="23" t="s">
        <v>7</v>
      </c>
      <c r="B101" s="24" t="str">
        <f>UPPER(D101&amp;E101&amp;F101&amp;G101&amp;H101&amp;I101)</f>
        <v xml:space="preserve">5 IPSC TARGET; </v>
      </c>
      <c r="C101" s="54"/>
      <c r="D101" s="31" t="str">
        <f>IF(D102&lt;&gt;"",D102&amp; " IPSC TARGET; ","")</f>
        <v xml:space="preserve">5 IPSC TARGET; </v>
      </c>
      <c r="E101" s="31" t="str">
        <f>IF(E102&lt;&gt;"",E102&amp;" IPSC Mini Target; ","")</f>
        <v/>
      </c>
      <c r="F101" s="31" t="str">
        <f>IF(F102&lt;&gt;"",F102&amp;" IPSC Popper; ","")</f>
        <v/>
      </c>
      <c r="G101" s="31" t="str">
        <f>IF(G102&lt;&gt;"",G102&amp;" IPSC Mini Popper; ","")</f>
        <v/>
      </c>
      <c r="H101" s="31" t="str">
        <f>IF(H102&lt;&gt;"",H102&amp;" Plates; ","")</f>
        <v/>
      </c>
      <c r="I101" s="31" t="str">
        <f>IF(I102&lt;&gt;"",I102&amp;" Clay; ","")</f>
        <v/>
      </c>
    </row>
    <row r="102" spans="1:9" x14ac:dyDescent="0.25">
      <c r="A102" s="23" t="s">
        <v>8</v>
      </c>
      <c r="B102" s="24" t="str">
        <f>UPPER(VLOOKUP(B99,PistasRF!$A$6:$V$18,4,FALSE))</f>
        <v>10</v>
      </c>
      <c r="C102" s="26"/>
      <c r="D102" s="32">
        <f>IF(VLOOKUP(B99,PistasRF!$A$6:$U$18,6,FALSE)=0,"",VLOOKUP(B99,PistasRF!$A$6:$U$18,6,FALSE))</f>
        <v>5</v>
      </c>
      <c r="E102" s="32" t="str">
        <f>IF(VLOOKUP(B99,PistasRF!$A$6:$U$18,8,FALSE)=0,"",VLOOKUP(B99,PistasRF!$A$6:$U$18,8,FALSE))</f>
        <v/>
      </c>
      <c r="F102" s="32" t="str">
        <f>IF(VLOOKUP(B99,PistasRF!$A$6:$U$18,10,FALSE)=0,"",VLOOKUP(B99,PistasRF!$A$6:$U$18,10,FALSE))</f>
        <v/>
      </c>
      <c r="G102" s="32" t="str">
        <f>IF(VLOOKUP(B99,PistasRF!$A$6:$U$18,12,FALSE)=0,"",VLOOKUP(B99,PistasRF!$A$6:$U$18,12,FALSE))</f>
        <v/>
      </c>
      <c r="H102" s="32" t="str">
        <f>IF(VLOOKUP(B99,PistasRF!$A$6:$T$18,14,FALSE)=0,"",VLOOKUP(B99,PistasRF!$A$6:$T$18,14,FALSE))</f>
        <v/>
      </c>
      <c r="I102" s="32" t="str">
        <f>IF(VLOOKUP(B99,PistasRF!$A$6:$U$18,16,FALSE)=0,"",VLOOKUP(B99,PistasRF!$A$6:$U$18,16,FALSE))</f>
        <v/>
      </c>
    </row>
    <row r="103" spans="1:9" x14ac:dyDescent="0.25">
      <c r="A103" s="25" t="s">
        <v>46</v>
      </c>
      <c r="B103" s="24">
        <f>(VLOOKUP(B99,PistasRF!$A$6:$V$18,5,FALSE))</f>
        <v>0</v>
      </c>
      <c r="E103" s="78"/>
      <c r="F103" s="78"/>
      <c r="G103" s="78"/>
      <c r="H103" s="78"/>
      <c r="I103" s="1"/>
    </row>
    <row r="104" spans="1:9" x14ac:dyDescent="0.25">
      <c r="A104" s="23" t="s">
        <v>10</v>
      </c>
      <c r="B104" s="24" t="str">
        <f>UPPER(VLOOKUP(B99,PistasRF!$A$6:$V$18,3,FALSE))</f>
        <v>50</v>
      </c>
      <c r="C104" s="52"/>
      <c r="D104" s="52"/>
      <c r="E104" s="52"/>
      <c r="F104" s="52"/>
      <c r="G104" s="52"/>
      <c r="H104" s="52"/>
      <c r="I104" s="1"/>
    </row>
    <row r="105" spans="1:9" x14ac:dyDescent="0.25">
      <c r="A105" s="23" t="s">
        <v>11</v>
      </c>
      <c r="B105" s="24" t="str">
        <f>UPPER(VLOOKUP(B99,PistasRF!$A$6:$V$18,18,FALSE))</f>
        <v>8.1.3 - OPTION 3</v>
      </c>
      <c r="D105" s="33"/>
      <c r="E105" s="30"/>
      <c r="F105" s="30"/>
      <c r="G105" s="30"/>
      <c r="H105" s="30"/>
      <c r="I105" s="30"/>
    </row>
    <row r="106" spans="1:9" ht="63" x14ac:dyDescent="0.25">
      <c r="A106" s="23" t="s">
        <v>12</v>
      </c>
      <c r="B106" s="24" t="str">
        <f>(VLOOKUP(B99,PistasRF!$A$6:$V$18,19,FALSE))</f>
        <v>Standing facing uprange, toes toching start line. hands clasped behind head. Rifle on  one of the tables on the mark.
Em pé, de costas para downrange, pés tocando a start line, mão cruzadas atrás da cabeça. Rifle na marca em uma das mesas, conforme demonstrado.</v>
      </c>
      <c r="C106" s="51"/>
      <c r="D106" s="51"/>
      <c r="E106" s="30"/>
      <c r="F106" s="30"/>
      <c r="G106" s="30"/>
      <c r="H106" s="30"/>
      <c r="I106" s="30"/>
    </row>
    <row r="107" spans="1:9" ht="31.5" x14ac:dyDescent="0.25">
      <c r="A107" s="23" t="s">
        <v>13</v>
      </c>
      <c r="B107" s="24" t="str">
        <f>VLOOKUP(B99,PistasRF!$A$6:$V$18,20,FALSE)</f>
        <v>Audible signal/
Sinal Audível</v>
      </c>
      <c r="C107" s="52"/>
      <c r="D107" s="51"/>
      <c r="E107" s="51"/>
      <c r="F107" s="51"/>
      <c r="G107" s="51"/>
      <c r="H107" s="51"/>
      <c r="I107" s="1"/>
    </row>
    <row r="108" spans="1:9" ht="31.5" x14ac:dyDescent="0.25">
      <c r="A108" s="23" t="s">
        <v>14</v>
      </c>
      <c r="B108" s="24" t="str">
        <f>(VLOOKUP(B99,PistasRF!$A$6:$V$18,21,FALSE))</f>
        <v>At the start signal engage targets from whithin the designated area. 
Ao sinal de partida engajar os alvos na área designada.</v>
      </c>
      <c r="C108" s="52"/>
      <c r="D108" s="51"/>
      <c r="E108" s="51"/>
      <c r="F108" s="51"/>
      <c r="G108" s="51"/>
      <c r="H108" s="51"/>
      <c r="I108" s="1"/>
    </row>
    <row r="109" spans="1:9" x14ac:dyDescent="0.25">
      <c r="A109" s="23" t="s">
        <v>55</v>
      </c>
      <c r="B109" s="24" t="str">
        <f>(VLOOKUP(B99,PistasRF!$A$6:$V$18,22,FALSE))</f>
        <v>Para Puma Standard somente 1 disparo por alvo</v>
      </c>
      <c r="C109" s="58"/>
      <c r="D109" s="57"/>
      <c r="E109" s="57"/>
      <c r="F109" s="57"/>
      <c r="G109" s="57"/>
      <c r="H109" s="57"/>
      <c r="I109" s="1"/>
    </row>
    <row r="110" spans="1:9" x14ac:dyDescent="0.25">
      <c r="A110" s="43"/>
      <c r="B110" s="44"/>
      <c r="C110" s="20"/>
      <c r="D110" s="30"/>
      <c r="E110" s="30"/>
      <c r="F110" s="30"/>
      <c r="G110" s="30"/>
      <c r="H110" s="30"/>
      <c r="I110" s="30"/>
    </row>
    <row r="111" spans="1:9" x14ac:dyDescent="0.25">
      <c r="A111" s="23" t="s">
        <v>56</v>
      </c>
      <c r="B111" s="22">
        <v>10</v>
      </c>
      <c r="D111" s="30"/>
      <c r="E111" s="30"/>
      <c r="F111" s="30"/>
      <c r="G111" s="30"/>
      <c r="H111" s="30"/>
      <c r="I111" s="30"/>
    </row>
    <row r="112" spans="1:9" x14ac:dyDescent="0.25">
      <c r="A112" s="23" t="s">
        <v>6</v>
      </c>
      <c r="B112" s="24" t="str">
        <f>UPPER(VLOOKUP(B111,PistasRF!$A$6:$V$18,17,FALSE))</f>
        <v>SHORT/CURTA</v>
      </c>
      <c r="C112" s="21"/>
    </row>
    <row r="113" spans="1:9" x14ac:dyDescent="0.25">
      <c r="A113" s="23" t="s">
        <v>7</v>
      </c>
      <c r="B113" s="24" t="str">
        <f>UPPER(D113&amp;E113&amp;F113&amp;G113&amp;H113&amp;I113)</f>
        <v xml:space="preserve">5 IPSC TARGET; </v>
      </c>
      <c r="C113" s="54"/>
      <c r="D113" s="31" t="str">
        <f>IF(D114&lt;&gt;"",D114&amp; " IPSC TARGET; ","")</f>
        <v xml:space="preserve">5 IPSC TARGET; </v>
      </c>
      <c r="E113" s="31" t="str">
        <f>IF(E114&lt;&gt;"",E114&amp;" IPSC Mini Target; ","")</f>
        <v/>
      </c>
      <c r="F113" s="31" t="str">
        <f>IF(F114&lt;&gt;"",F114&amp;" IPSC Popper; ","")</f>
        <v/>
      </c>
      <c r="G113" s="31" t="str">
        <f>IF(G114&lt;&gt;"",G114&amp;" IPSC Mini Popper; ","")</f>
        <v/>
      </c>
      <c r="H113" s="31" t="str">
        <f>IF(H114&lt;&gt;"",H114&amp;" Plates; ","")</f>
        <v/>
      </c>
      <c r="I113" s="31" t="str">
        <f>IF(I114&lt;&gt;"",I114&amp;" Clay; ","")</f>
        <v/>
      </c>
    </row>
    <row r="114" spans="1:9" x14ac:dyDescent="0.25">
      <c r="A114" s="23" t="s">
        <v>8</v>
      </c>
      <c r="B114" s="24" t="str">
        <f>UPPER(VLOOKUP(B111,PistasRF!$A$6:$V$18,4,FALSE))</f>
        <v>10</v>
      </c>
      <c r="C114" s="26"/>
      <c r="D114" s="32">
        <f>IF(VLOOKUP(B111,PistasRF!$A$6:$U$18,6,FALSE)=0,"",VLOOKUP(B111,PistasRF!$A$6:$U$18,6,FALSE))</f>
        <v>5</v>
      </c>
      <c r="E114" s="32" t="str">
        <f>IF(VLOOKUP(B111,PistasRF!$A$6:$U$18,8,FALSE)=0,"",VLOOKUP(B111,PistasRF!$A$6:$U$18,8,FALSE))</f>
        <v/>
      </c>
      <c r="F114" s="32" t="str">
        <f>IF(VLOOKUP(B111,PistasRF!$A$6:$U$18,10,FALSE)=0,"",VLOOKUP(B111,PistasRF!$A$6:$U$18,10,FALSE))</f>
        <v/>
      </c>
      <c r="G114" s="32" t="str">
        <f>IF(VLOOKUP(B111,PistasRF!$A$6:$U$18,12,FALSE)=0,"",VLOOKUP(B111,PistasRF!$A$6:$U$18,12,FALSE))</f>
        <v/>
      </c>
      <c r="H114" s="32" t="str">
        <f>IF(VLOOKUP(B111,PistasRF!$A$6:$T$18,14,FALSE)=0,"",VLOOKUP(B111,PistasRF!$A$6:$T$18,14,FALSE))</f>
        <v/>
      </c>
      <c r="I114" s="32" t="str">
        <f>IF(VLOOKUP(B111,PistasRF!$A$6:$U$18,16,FALSE)=0,"",VLOOKUP(B111,PistasRF!$A$6:$U$18,16,FALSE))</f>
        <v/>
      </c>
    </row>
    <row r="115" spans="1:9" x14ac:dyDescent="0.25">
      <c r="A115" s="25" t="s">
        <v>46</v>
      </c>
      <c r="B115" s="24">
        <f>(VLOOKUP(B111,PistasRF!$A$6:$V$18,5,FALSE))</f>
        <v>0</v>
      </c>
      <c r="E115" s="78"/>
      <c r="F115" s="78"/>
      <c r="G115" s="78"/>
      <c r="H115" s="78"/>
      <c r="I115" s="1"/>
    </row>
    <row r="116" spans="1:9" x14ac:dyDescent="0.25">
      <c r="A116" s="23" t="s">
        <v>10</v>
      </c>
      <c r="B116" s="24" t="str">
        <f>UPPER(VLOOKUP(B111,PistasRF!$A$6:$V$18,3,FALSE))</f>
        <v>50</v>
      </c>
      <c r="C116" s="52"/>
      <c r="D116" s="52"/>
      <c r="E116" s="52"/>
      <c r="F116" s="52"/>
      <c r="G116" s="52"/>
      <c r="H116" s="52"/>
      <c r="I116" s="1"/>
    </row>
    <row r="117" spans="1:9" x14ac:dyDescent="0.25">
      <c r="A117" s="23" t="s">
        <v>11</v>
      </c>
      <c r="B117" s="24" t="str">
        <f>UPPER(VLOOKUP(B111,PistasRF!$A$6:$V$18,18,FALSE))</f>
        <v>8.1.2 - OPTION 2</v>
      </c>
      <c r="D117" s="33"/>
      <c r="E117" s="30"/>
      <c r="F117" s="30"/>
      <c r="G117" s="30"/>
      <c r="H117" s="30"/>
      <c r="I117" s="30"/>
    </row>
    <row r="118" spans="1:9" ht="63" x14ac:dyDescent="0.25">
      <c r="A118" s="23" t="s">
        <v>12</v>
      </c>
      <c r="B118" s="24" t="str">
        <f>(VLOOKUP(B111,PistasRF!$A$6:$V$18,19,FALSE))</f>
        <v>Standing, relaxed, hands along the body, heels touching the starting line. Rifle to "A" or "B" mark. as demonstrated.
Em pé, ereto, relaxado, braços estendidos ao longo do corpo, calcanhares tocando a start line. Rifle na marca "A" ou "B", conforme demonstrado.</v>
      </c>
      <c r="C118" s="51"/>
      <c r="D118" s="51"/>
      <c r="E118" s="30"/>
      <c r="F118" s="30"/>
      <c r="G118" s="30"/>
      <c r="H118" s="30"/>
      <c r="I118" s="30"/>
    </row>
    <row r="119" spans="1:9" ht="31.5" x14ac:dyDescent="0.25">
      <c r="A119" s="23" t="s">
        <v>13</v>
      </c>
      <c r="B119" s="24" t="str">
        <f>VLOOKUP(B111,PistasRF!$A$6:$V$18,20,FALSE)</f>
        <v>Audible signal/
Sinal Audível</v>
      </c>
      <c r="C119" s="52"/>
      <c r="D119" s="51"/>
      <c r="E119" s="51"/>
      <c r="F119" s="51"/>
      <c r="G119" s="51"/>
      <c r="H119" s="51"/>
      <c r="I119" s="1"/>
    </row>
    <row r="120" spans="1:9" ht="31.5" x14ac:dyDescent="0.25">
      <c r="A120" s="23" t="s">
        <v>14</v>
      </c>
      <c r="B120" s="24" t="str">
        <f>(VLOOKUP(B111,PistasRF!$A$6:$V$18,21,FALSE))</f>
        <v>At the start signal engage targets from whithin the designated area. 
Ao sinal de partida engajar os alvos na área designada.</v>
      </c>
      <c r="C120" s="52"/>
      <c r="D120" s="51"/>
      <c r="E120" s="51"/>
      <c r="F120" s="51"/>
      <c r="G120" s="51"/>
      <c r="H120" s="51"/>
      <c r="I120" s="1"/>
    </row>
    <row r="121" spans="1:9" x14ac:dyDescent="0.25">
      <c r="A121" s="23" t="s">
        <v>55</v>
      </c>
      <c r="B121" s="24" t="str">
        <f>(VLOOKUP(B111,PistasRF!$A$6:$V$18,22,FALSE))</f>
        <v>Para Puma Standard somente 1 disparo por alvo</v>
      </c>
      <c r="C121" s="58"/>
      <c r="D121" s="57"/>
      <c r="E121" s="57"/>
      <c r="F121" s="57"/>
      <c r="G121" s="57"/>
      <c r="H121" s="57"/>
      <c r="I121" s="1"/>
    </row>
    <row r="122" spans="1:9" x14ac:dyDescent="0.25">
      <c r="A122" s="43"/>
      <c r="B122" s="44"/>
      <c r="C122" s="20"/>
      <c r="D122" s="30"/>
      <c r="E122" s="30"/>
      <c r="F122" s="30"/>
      <c r="G122" s="30"/>
      <c r="H122" s="30"/>
      <c r="I122" s="30"/>
    </row>
    <row r="123" spans="1:9" x14ac:dyDescent="0.25">
      <c r="A123" s="23" t="s">
        <v>56</v>
      </c>
      <c r="B123" s="22">
        <v>11</v>
      </c>
      <c r="D123" s="30"/>
      <c r="E123" s="30"/>
      <c r="F123" s="30"/>
      <c r="G123" s="30"/>
      <c r="H123" s="30"/>
      <c r="I123" s="30"/>
    </row>
    <row r="124" spans="1:9" x14ac:dyDescent="0.25">
      <c r="A124" s="23" t="s">
        <v>6</v>
      </c>
      <c r="B124" s="24" t="str">
        <f>UPPER(VLOOKUP(B123,PistasRF!$A$6:$V$18,17,FALSE))</f>
        <v>SHORT/CURTA</v>
      </c>
      <c r="C124" s="21"/>
    </row>
    <row r="125" spans="1:9" x14ac:dyDescent="0.25">
      <c r="A125" s="23" t="s">
        <v>7</v>
      </c>
      <c r="B125" s="24" t="str">
        <f>UPPER(D125&amp;E125&amp;F125&amp;G125&amp;H125&amp;I125)</f>
        <v xml:space="preserve">2 IPSC POPPER; 8 PLATES; </v>
      </c>
      <c r="C125" s="54"/>
      <c r="D125" s="31" t="str">
        <f>IF(D126&lt;&gt;"",D126&amp; " IPSC TARGET; ","")</f>
        <v/>
      </c>
      <c r="E125" s="31" t="str">
        <f>IF(E126&lt;&gt;"",E126&amp;" IPSC Mini Target; ","")</f>
        <v/>
      </c>
      <c r="F125" s="31" t="str">
        <f>IF(F126&lt;&gt;"",F126&amp;" IPSC Popper; ","")</f>
        <v xml:space="preserve">2 IPSC Popper; </v>
      </c>
      <c r="G125" s="31" t="str">
        <f>IF(G126&lt;&gt;"",G126&amp;" IPSC Mini Popper; ","")</f>
        <v/>
      </c>
      <c r="H125" s="31" t="str">
        <f>IF(H126&lt;&gt;"",H126&amp;" Plates; ","")</f>
        <v xml:space="preserve">8 Plates; </v>
      </c>
      <c r="I125" s="31" t="str">
        <f>IF(I126&lt;&gt;"",I126&amp;" Clay; ","")</f>
        <v/>
      </c>
    </row>
    <row r="126" spans="1:9" x14ac:dyDescent="0.25">
      <c r="A126" s="23" t="s">
        <v>8</v>
      </c>
      <c r="B126" s="24" t="str">
        <f>UPPER(VLOOKUP(B123,PistasRF!$A$6:$V$18,4,FALSE))</f>
        <v>10</v>
      </c>
      <c r="C126" s="26"/>
      <c r="D126" s="32" t="str">
        <f>IF(VLOOKUP(B123,PistasRF!$A$6:$U$18,6,FALSE)=0,"",VLOOKUP(B123,PistasRF!$A$6:$U$18,6,FALSE))</f>
        <v/>
      </c>
      <c r="E126" s="32" t="str">
        <f>IF(VLOOKUP(B123,PistasRF!$A$6:$U$18,8,FALSE)=0,"",VLOOKUP(B123,PistasRF!$A$6:$U$18,8,FALSE))</f>
        <v/>
      </c>
      <c r="F126" s="32">
        <f>IF(VLOOKUP(B123,PistasRF!$A$6:$U$18,10,FALSE)=0,"",VLOOKUP(B123,PistasRF!$A$6:$U$18,10,FALSE))</f>
        <v>2</v>
      </c>
      <c r="G126" s="32" t="str">
        <f>IF(VLOOKUP(B123,PistasRF!$A$6:$U$18,12,FALSE)=0,"",VLOOKUP(B123,PistasRF!$A$6:$U$18,12,FALSE))</f>
        <v/>
      </c>
      <c r="H126" s="32">
        <f>IF(VLOOKUP(B123,PistasRF!$A$6:$T$18,14,FALSE)=0,"",VLOOKUP(B123,PistasRF!$A$6:$T$18,14,FALSE))</f>
        <v>8</v>
      </c>
      <c r="I126" s="32" t="str">
        <f>IF(VLOOKUP(B123,PistasRF!$A$6:$U$18,16,FALSE)=0,"",VLOOKUP(B123,PistasRF!$A$6:$U$18,16,FALSE))</f>
        <v/>
      </c>
    </row>
    <row r="127" spans="1:9" x14ac:dyDescent="0.25">
      <c r="A127" s="25" t="s">
        <v>46</v>
      </c>
      <c r="B127" s="24">
        <f>(VLOOKUP(B123,PistasRF!$A$6:$V$18,5,FALSE))</f>
        <v>0</v>
      </c>
      <c r="E127" s="78"/>
      <c r="F127" s="78"/>
      <c r="G127" s="78"/>
      <c r="H127" s="78"/>
      <c r="I127" s="1"/>
    </row>
    <row r="128" spans="1:9" x14ac:dyDescent="0.25">
      <c r="A128" s="23" t="s">
        <v>10</v>
      </c>
      <c r="B128" s="24" t="str">
        <f>UPPER(VLOOKUP(B123,PistasRF!$A$6:$V$18,3,FALSE))</f>
        <v>50</v>
      </c>
      <c r="C128" s="52"/>
      <c r="D128" s="52"/>
      <c r="E128" s="52"/>
      <c r="F128" s="52"/>
      <c r="G128" s="52"/>
      <c r="H128" s="52"/>
      <c r="I128" s="1"/>
    </row>
    <row r="129" spans="1:9" x14ac:dyDescent="0.25">
      <c r="A129" s="23" t="s">
        <v>11</v>
      </c>
      <c r="B129" s="24" t="str">
        <f>UPPER(VLOOKUP(B123,PistasRF!$A$6:$V$18,18,FALSE))</f>
        <v>8.1.2 - OPTION 2</v>
      </c>
      <c r="D129" s="33"/>
      <c r="E129" s="30"/>
      <c r="F129" s="30"/>
      <c r="G129" s="30"/>
      <c r="H129" s="30"/>
      <c r="I129" s="30"/>
    </row>
    <row r="130" spans="1:9" ht="47.25" x14ac:dyDescent="0.25">
      <c r="A130" s="23" t="s">
        <v>12</v>
      </c>
      <c r="B130" s="24" t="str">
        <f>(VLOOKUP(B123,PistasRF!$A$6:$V$18,19,FALSE))</f>
        <v xml:space="preserve"> Lay on bed as demonstrated. Rifle on the table on the mark.
Deitado na cama. Mãos tocando a marca atrás da cabeça. Rifle na mesa sobre a marca, conforme demonstrado.</v>
      </c>
      <c r="C130" s="51"/>
      <c r="D130" s="51"/>
      <c r="E130" s="30"/>
      <c r="F130" s="30"/>
      <c r="G130" s="30"/>
      <c r="H130" s="30"/>
      <c r="I130" s="30"/>
    </row>
    <row r="131" spans="1:9" ht="31.5" x14ac:dyDescent="0.25">
      <c r="A131" s="23" t="s">
        <v>13</v>
      </c>
      <c r="B131" s="24" t="str">
        <f>VLOOKUP(B123,PistasRF!$A$6:$V$18,20,FALSE)</f>
        <v>Audible signal/
Sinal Audível</v>
      </c>
      <c r="C131" s="52"/>
      <c r="D131" s="51"/>
      <c r="E131" s="51"/>
      <c r="F131" s="51"/>
      <c r="G131" s="51"/>
      <c r="H131" s="51"/>
      <c r="I131" s="1"/>
    </row>
    <row r="132" spans="1:9" ht="31.5" x14ac:dyDescent="0.25">
      <c r="A132" s="23" t="s">
        <v>14</v>
      </c>
      <c r="B132" s="24" t="str">
        <f>(VLOOKUP(B123,PistasRF!$A$6:$V$18,21,FALSE))</f>
        <v>At the start signal engage targets from whithin the designated area. 
Ao sinal de partida engajar os alvos na área designada.</v>
      </c>
      <c r="C132" s="52"/>
      <c r="D132" s="51"/>
      <c r="E132" s="51"/>
      <c r="F132" s="51"/>
      <c r="G132" s="51"/>
      <c r="H132" s="51"/>
      <c r="I132" s="1"/>
    </row>
    <row r="133" spans="1:9" x14ac:dyDescent="0.25">
      <c r="A133" s="23" t="s">
        <v>55</v>
      </c>
      <c r="B133" s="24" t="str">
        <f>(VLOOKUP(B123,PistasRF!$A$6:$V$18,22,FALSE))</f>
        <v>Para Puma Standard somente 1 disparo por alvo</v>
      </c>
      <c r="C133" s="58"/>
      <c r="D133" s="57"/>
      <c r="E133" s="57"/>
      <c r="F133" s="57"/>
      <c r="G133" s="57"/>
      <c r="H133" s="57"/>
      <c r="I133" s="1"/>
    </row>
    <row r="134" spans="1:9" x14ac:dyDescent="0.25">
      <c r="A134" s="43"/>
      <c r="B134" s="44"/>
      <c r="C134" s="20"/>
      <c r="D134" s="30"/>
      <c r="E134" s="30"/>
      <c r="F134" s="30"/>
      <c r="G134" s="30"/>
      <c r="H134" s="30"/>
      <c r="I134" s="30"/>
    </row>
    <row r="135" spans="1:9" x14ac:dyDescent="0.25">
      <c r="A135" s="23" t="s">
        <v>56</v>
      </c>
      <c r="B135" s="22">
        <v>12</v>
      </c>
      <c r="D135" s="30"/>
      <c r="E135" s="30"/>
      <c r="F135" s="30"/>
      <c r="G135" s="30"/>
      <c r="H135" s="30"/>
      <c r="I135" s="30"/>
    </row>
    <row r="136" spans="1:9" x14ac:dyDescent="0.25">
      <c r="A136" s="23" t="s">
        <v>6</v>
      </c>
      <c r="B136" s="24" t="str">
        <f>UPPER(VLOOKUP(B135,PistasRF!$A$6:$V$18,17,FALSE))</f>
        <v>LONG/LONGA</v>
      </c>
      <c r="C136" s="21"/>
    </row>
    <row r="137" spans="1:9" x14ac:dyDescent="0.25">
      <c r="A137" s="23" t="s">
        <v>7</v>
      </c>
      <c r="B137" s="24" t="str">
        <f>UPPER(D137&amp;E137&amp;F137&amp;G137&amp;H137&amp;I137)</f>
        <v xml:space="preserve">13 IPSC TARGET; 3 IPSC MINI TARGET; 3 IPSC POPPER; </v>
      </c>
      <c r="C137" s="54"/>
      <c r="D137" s="31" t="str">
        <f>IF(D138&lt;&gt;"",D138&amp; " IPSC TARGET; ","")</f>
        <v xml:space="preserve">13 IPSC TARGET; </v>
      </c>
      <c r="E137" s="31" t="str">
        <f>IF(E138&lt;&gt;"",E138&amp;" IPSC Mini Target; ","")</f>
        <v xml:space="preserve">3 IPSC Mini Target; </v>
      </c>
      <c r="F137" s="31" t="str">
        <f>IF(F138&lt;&gt;"",F138&amp;" IPSC Popper; ","")</f>
        <v xml:space="preserve">3 IPSC Popper; </v>
      </c>
      <c r="G137" s="31" t="str">
        <f>IF(G138&lt;&gt;"",G138&amp;" IPSC Mini Popper; ","")</f>
        <v/>
      </c>
      <c r="H137" s="31" t="str">
        <f>IF(H138&lt;&gt;"",H138&amp;" Plates; ","")</f>
        <v/>
      </c>
      <c r="I137" s="31" t="str">
        <f>IF(I138&lt;&gt;"",I138&amp;" Clay; ","")</f>
        <v/>
      </c>
    </row>
    <row r="138" spans="1:9" x14ac:dyDescent="0.25">
      <c r="A138" s="23" t="s">
        <v>8</v>
      </c>
      <c r="B138" s="24" t="str">
        <f>UPPER(VLOOKUP(B135,PistasRF!$A$6:$V$18,4,FALSE))</f>
        <v>35</v>
      </c>
      <c r="C138" s="26"/>
      <c r="D138" s="32">
        <f>IF(VLOOKUP(B135,PistasRF!$A$6:$U$18,6,FALSE)=0,"",VLOOKUP(B135,PistasRF!$A$6:$U$18,6,FALSE))</f>
        <v>13</v>
      </c>
      <c r="E138" s="32">
        <f>IF(VLOOKUP(B135,PistasRF!$A$6:$U$18,8,FALSE)=0,"",VLOOKUP(B135,PistasRF!$A$6:$U$18,8,FALSE))</f>
        <v>3</v>
      </c>
      <c r="F138" s="32">
        <f>IF(VLOOKUP(B135,PistasRF!$A$6:$U$18,10,FALSE)=0,"",VLOOKUP(B135,PistasRF!$A$6:$U$18,10,FALSE))</f>
        <v>3</v>
      </c>
      <c r="G138" s="32" t="str">
        <f>IF(VLOOKUP(B135,PistasRF!$A$6:$U$18,12,FALSE)=0,"",VLOOKUP(B135,PistasRF!$A$6:$U$18,12,FALSE))</f>
        <v/>
      </c>
      <c r="H138" s="32" t="str">
        <f>IF(VLOOKUP(B135,PistasRF!$A$6:$T$18,14,FALSE)=0,"",VLOOKUP(B135,PistasRF!$A$6:$T$18,14,FALSE))</f>
        <v/>
      </c>
      <c r="I138" s="32" t="str">
        <f>IF(VLOOKUP(B135,PistasRF!$A$6:$U$18,16,FALSE)=0,"",VLOOKUP(B135,PistasRF!$A$6:$U$18,16,FALSE))</f>
        <v/>
      </c>
    </row>
    <row r="139" spans="1:9" x14ac:dyDescent="0.25">
      <c r="A139" s="25" t="s">
        <v>46</v>
      </c>
      <c r="B139" s="24">
        <f>(VLOOKUP(B135,PistasRF!$A$6:$V$18,5,FALSE))</f>
        <v>0</v>
      </c>
      <c r="E139" s="78"/>
      <c r="F139" s="78"/>
      <c r="G139" s="78"/>
      <c r="H139" s="78"/>
      <c r="I139" s="1"/>
    </row>
    <row r="140" spans="1:9" x14ac:dyDescent="0.25">
      <c r="A140" s="23" t="s">
        <v>10</v>
      </c>
      <c r="B140" s="24" t="str">
        <f>UPPER(VLOOKUP(B135,PistasRF!$A$6:$V$18,3,FALSE))</f>
        <v>175</v>
      </c>
      <c r="C140" s="52"/>
      <c r="D140" s="52"/>
      <c r="E140" s="52"/>
      <c r="F140" s="52"/>
      <c r="G140" s="52"/>
      <c r="H140" s="52"/>
      <c r="I140" s="1"/>
    </row>
    <row r="141" spans="1:9" x14ac:dyDescent="0.25">
      <c r="A141" s="23" t="s">
        <v>11</v>
      </c>
      <c r="B141" s="24" t="str">
        <f>UPPER(VLOOKUP(B135,PistasRF!$A$6:$V$18,18,FALSE))</f>
        <v>8.1.1 - OPTION 1</v>
      </c>
      <c r="D141" s="33"/>
      <c r="E141" s="30"/>
      <c r="F141" s="30"/>
      <c r="G141" s="30"/>
      <c r="H141" s="30"/>
      <c r="I141" s="30"/>
    </row>
    <row r="142" spans="1:9" ht="94.5" x14ac:dyDescent="0.25">
      <c r="A142" s="23" t="s">
        <v>12</v>
      </c>
      <c r="B142" s="24" t="str">
        <f>(VLOOKUP(B135,PistasRF!$A$6:$V$18,19,FALSE))</f>
        <v>Standing erect, heels touching the start line, shotgun held with both hands, stock touching the hip level, trigger guard downwards, muzzle pointing downrange, fingers outside trigger guard.
Em pé, ereto e relaxado, calcanhares tocando a start line, Shotgun segura com ambas as mãos, tocando na altura do quadril, em direção ao parabalas, gatilho para baixo, dedos fora do guarda mato, Face para Downrange, conforme demonstrado.</v>
      </c>
      <c r="C142" s="51"/>
      <c r="D142" s="51"/>
      <c r="E142" s="30"/>
      <c r="F142" s="30"/>
      <c r="G142" s="30"/>
      <c r="H142" s="30"/>
      <c r="I142" s="30"/>
    </row>
    <row r="143" spans="1:9" x14ac:dyDescent="0.25">
      <c r="A143" s="23" t="s">
        <v>13</v>
      </c>
      <c r="B143" s="24" t="str">
        <f>VLOOKUP(B135,PistasRF!$A$6:$V$18,20,FALSE)</f>
        <v>Audible signal</v>
      </c>
      <c r="C143" s="52"/>
      <c r="D143" s="51"/>
      <c r="E143" s="51"/>
      <c r="F143" s="51"/>
      <c r="G143" s="51"/>
      <c r="H143" s="51"/>
      <c r="I143" s="1"/>
    </row>
    <row r="144" spans="1:9" ht="78.75" x14ac:dyDescent="0.25">
      <c r="A144" s="23" t="s">
        <v>14</v>
      </c>
      <c r="B144" s="24" t="str">
        <f>(VLOOKUP(B135,PistasRF!$A$6:$V$18,21,FALSE))</f>
        <v xml:space="preserve">After the signal shoot at the targets as required to score within the defined shooting area. PP2 liberates the balance. T8  -T9 remais visible.
Ao sinal de partida engajar os alvos na área designada. PP2 libera o balanço. T8 e T9 permanecem visíveis.
</v>
      </c>
      <c r="C144" s="52"/>
      <c r="D144" s="51"/>
      <c r="E144" s="51"/>
      <c r="F144" s="51"/>
      <c r="G144" s="51"/>
      <c r="H144" s="51"/>
      <c r="I144" s="1"/>
    </row>
    <row r="145" spans="1:9" x14ac:dyDescent="0.25">
      <c r="A145" s="23" t="s">
        <v>55</v>
      </c>
      <c r="B145" s="24" t="str">
        <f>(VLOOKUP(B135,PistasRF!$A$6:$V$18,22,FALSE))</f>
        <v>Para Puma Standard somente 1 disparo por alvo</v>
      </c>
      <c r="C145" s="58"/>
      <c r="D145" s="57"/>
      <c r="E145" s="57"/>
      <c r="F145" s="57"/>
      <c r="G145" s="57"/>
      <c r="H145" s="57"/>
      <c r="I145" s="1"/>
    </row>
    <row r="146" spans="1:9" x14ac:dyDescent="0.25">
      <c r="A146" s="43"/>
      <c r="B146" s="44"/>
      <c r="C146" s="20"/>
      <c r="D146" s="30"/>
      <c r="E146" s="30"/>
      <c r="F146" s="30"/>
      <c r="G146" s="30"/>
      <c r="H146" s="30"/>
      <c r="I146" s="30"/>
    </row>
  </sheetData>
  <mergeCells count="13">
    <mergeCell ref="A1:B1"/>
    <mergeCell ref="E7:H7"/>
    <mergeCell ref="E19:H19"/>
    <mergeCell ref="E31:H31"/>
    <mergeCell ref="E43:H43"/>
    <mergeCell ref="E115:H115"/>
    <mergeCell ref="E127:H127"/>
    <mergeCell ref="E139:H139"/>
    <mergeCell ref="E55:H55"/>
    <mergeCell ref="E67:H67"/>
    <mergeCell ref="E103:H103"/>
    <mergeCell ref="E79:H79"/>
    <mergeCell ref="E91:H91"/>
  </mergeCells>
  <pageMargins left="0.28000000000000003" right="0.2" top="0.21" bottom="0.27" header="0.16" footer="0.12"/>
  <pageSetup paperSize="9" orientation="landscape"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I15" sqref="I15"/>
    </sheetView>
  </sheetViews>
  <sheetFormatPr defaultRowHeight="18.75" x14ac:dyDescent="0.3"/>
  <cols>
    <col min="1" max="1" width="40" style="16" bestFit="1" customWidth="1"/>
    <col min="2" max="2" width="20.7109375" style="15" bestFit="1" customWidth="1"/>
    <col min="3" max="3" width="21" style="15" hidden="1" customWidth="1"/>
    <col min="4" max="4" width="21.28515625" style="15" hidden="1" customWidth="1"/>
    <col min="5" max="5" width="4.7109375" hidden="1" customWidth="1"/>
    <col min="6" max="6" width="11" bestFit="1" customWidth="1"/>
    <col min="7" max="7" width="6.140625" bestFit="1" customWidth="1"/>
    <col min="8" max="8" width="8.7109375" bestFit="1" customWidth="1"/>
    <col min="9" max="9" width="7" bestFit="1" customWidth="1"/>
    <col min="10" max="10" width="9.7109375" bestFit="1" customWidth="1"/>
    <col min="11" max="11" width="12.28515625" bestFit="1" customWidth="1"/>
    <col min="12" max="12" width="17.42578125" bestFit="1" customWidth="1"/>
    <col min="13" max="13" width="7.28515625" bestFit="1" customWidth="1"/>
    <col min="14" max="14" width="13.5703125" bestFit="1" customWidth="1"/>
    <col min="15" max="15" width="16.7109375" bestFit="1" customWidth="1"/>
    <col min="16" max="16" width="12.85546875" bestFit="1" customWidth="1"/>
    <col min="17" max="17" width="9.28515625" bestFit="1" customWidth="1"/>
    <col min="18" max="18" width="10.140625" bestFit="1" customWidth="1"/>
    <col min="19" max="19" width="16.85546875" bestFit="1" customWidth="1"/>
    <col min="20" max="20" width="4" bestFit="1" customWidth="1"/>
  </cols>
  <sheetData>
    <row r="1" spans="1:5" x14ac:dyDescent="0.25">
      <c r="A1" s="11" t="s">
        <v>3</v>
      </c>
      <c r="B1" s="12" t="s">
        <v>132</v>
      </c>
      <c r="C1" s="12" t="s">
        <v>22</v>
      </c>
      <c r="D1" s="12" t="s">
        <v>40</v>
      </c>
    </row>
    <row r="2" spans="1:5" x14ac:dyDescent="0.25">
      <c r="A2" s="11" t="s">
        <v>53</v>
      </c>
      <c r="B2" s="13">
        <f>PistasHG!B1</f>
        <v>4</v>
      </c>
      <c r="C2" s="13">
        <f>PistasRF!B1</f>
        <v>2</v>
      </c>
      <c r="D2" s="83"/>
    </row>
    <row r="3" spans="1:5" x14ac:dyDescent="0.25">
      <c r="A3" s="11" t="s">
        <v>4</v>
      </c>
      <c r="B3" s="14" t="str">
        <f>PistasHG!B2</f>
        <v>24.02.2015</v>
      </c>
      <c r="C3" s="14">
        <f>PistasRF!B2</f>
        <v>41839</v>
      </c>
      <c r="D3" s="84"/>
    </row>
    <row r="4" spans="1:5" x14ac:dyDescent="0.25">
      <c r="A4" s="11" t="s">
        <v>23</v>
      </c>
      <c r="B4" s="13">
        <f>SUM(PistasHG!C7:C18)</f>
        <v>1130</v>
      </c>
      <c r="C4" s="13">
        <f>SUM(PistasRF!C7:C18)</f>
        <v>1030</v>
      </c>
      <c r="D4" s="84"/>
    </row>
    <row r="5" spans="1:5" x14ac:dyDescent="0.25">
      <c r="A5" s="11" t="s">
        <v>9</v>
      </c>
      <c r="B5" s="13">
        <f>SUM(PistasHG!D7:D18)</f>
        <v>226</v>
      </c>
      <c r="C5" s="13">
        <f>SUM(PistasRF!D7:D18)</f>
        <v>206</v>
      </c>
      <c r="D5" s="85"/>
    </row>
    <row r="6" spans="1:5" hidden="1" x14ac:dyDescent="0.25">
      <c r="A6" s="61" t="s">
        <v>108</v>
      </c>
      <c r="B6" s="13">
        <f>B5-B7-B8</f>
        <v>215</v>
      </c>
      <c r="C6" s="13"/>
      <c r="D6" s="60"/>
    </row>
    <row r="7" spans="1:5" hidden="1" x14ac:dyDescent="0.25">
      <c r="A7" s="61" t="s">
        <v>109</v>
      </c>
      <c r="B7" s="13">
        <v>5</v>
      </c>
      <c r="C7" s="13"/>
      <c r="D7" s="60"/>
    </row>
    <row r="8" spans="1:5" hidden="1" x14ac:dyDescent="0.25">
      <c r="A8" s="61" t="s">
        <v>110</v>
      </c>
      <c r="B8" s="13">
        <v>6</v>
      </c>
      <c r="C8" s="13"/>
      <c r="D8" s="60"/>
    </row>
    <row r="9" spans="1:5" x14ac:dyDescent="0.25">
      <c r="A9" s="11" t="s">
        <v>15</v>
      </c>
      <c r="B9" s="13">
        <f>SUM(PistasHG!F7:F18)</f>
        <v>97</v>
      </c>
      <c r="C9" s="13">
        <f>SUM(PistasRF!F7:F18)</f>
        <v>57</v>
      </c>
      <c r="D9" s="13">
        <f>C9+B9</f>
        <v>154</v>
      </c>
      <c r="E9">
        <f>D9+D15</f>
        <v>160</v>
      </c>
    </row>
    <row r="10" spans="1:5" x14ac:dyDescent="0.25">
      <c r="A10" s="11" t="s">
        <v>24</v>
      </c>
      <c r="B10" s="13">
        <f>SUM(PistasHG!H7:H18)</f>
        <v>0</v>
      </c>
      <c r="C10" s="13">
        <f>SUM(PistasRF!H7:H18)</f>
        <v>36</v>
      </c>
      <c r="D10" s="13">
        <f t="shared" ref="D10:D19" si="0">C10+B10</f>
        <v>36</v>
      </c>
      <c r="E10">
        <f>D10+D16</f>
        <v>47</v>
      </c>
    </row>
    <row r="11" spans="1:5" x14ac:dyDescent="0.25">
      <c r="A11" s="11" t="s">
        <v>0</v>
      </c>
      <c r="B11" s="13">
        <f>SUM(PistasHG!J7:J18)</f>
        <v>19</v>
      </c>
      <c r="C11" s="13">
        <f>SUM(PistasRF!J7:J18)</f>
        <v>8</v>
      </c>
      <c r="D11" s="13">
        <f t="shared" si="0"/>
        <v>27</v>
      </c>
      <c r="E11">
        <f>D11+D17</f>
        <v>29</v>
      </c>
    </row>
    <row r="12" spans="1:5" x14ac:dyDescent="0.25">
      <c r="A12" s="11" t="s">
        <v>1</v>
      </c>
      <c r="B12" s="13">
        <f>SUM(PistasHG!L7:L18)</f>
        <v>0</v>
      </c>
      <c r="C12" s="13">
        <f>SUM(PistasRF!L7:L18)</f>
        <v>0</v>
      </c>
      <c r="D12" s="13">
        <f t="shared" si="0"/>
        <v>0</v>
      </c>
      <c r="E12">
        <f>D12+D18</f>
        <v>0</v>
      </c>
    </row>
    <row r="13" spans="1:5" x14ac:dyDescent="0.25">
      <c r="A13" s="11" t="s">
        <v>2</v>
      </c>
      <c r="B13" s="13">
        <f>SUM(PistasHG!N7:N18)</f>
        <v>13</v>
      </c>
      <c r="C13" s="13">
        <f>SUM(PistasRF!N7:N18)</f>
        <v>12</v>
      </c>
      <c r="D13" s="13">
        <f t="shared" si="0"/>
        <v>25</v>
      </c>
      <c r="E13">
        <f>D13+D19</f>
        <v>31</v>
      </c>
    </row>
    <row r="14" spans="1:5" x14ac:dyDescent="0.25">
      <c r="A14" s="11" t="s">
        <v>49</v>
      </c>
      <c r="B14" s="13">
        <f>SUM(PistasHG!P7:P18)</f>
        <v>0</v>
      </c>
      <c r="C14" s="13">
        <f>SUM(PistasRF!P7:P18)</f>
        <v>0</v>
      </c>
      <c r="D14" s="13">
        <f t="shared" si="0"/>
        <v>0</v>
      </c>
    </row>
    <row r="15" spans="1:5" x14ac:dyDescent="0.25">
      <c r="A15" s="11" t="s">
        <v>41</v>
      </c>
      <c r="B15" s="13">
        <f>SUM(PistasHG!G7:G18)</f>
        <v>0</v>
      </c>
      <c r="C15" s="13">
        <f>SUM(PistasRF!G7:G18)</f>
        <v>6</v>
      </c>
      <c r="D15" s="13">
        <f t="shared" si="0"/>
        <v>6</v>
      </c>
    </row>
    <row r="16" spans="1:5" x14ac:dyDescent="0.25">
      <c r="A16" s="11" t="s">
        <v>42</v>
      </c>
      <c r="B16" s="13">
        <f>SUM(PistasHG!I7:I18)</f>
        <v>0</v>
      </c>
      <c r="C16" s="13">
        <f>SUM(PistasRF!I7:I18)</f>
        <v>11</v>
      </c>
      <c r="D16" s="13">
        <f t="shared" si="0"/>
        <v>11</v>
      </c>
    </row>
    <row r="17" spans="1:4" x14ac:dyDescent="0.25">
      <c r="A17" s="11" t="s">
        <v>43</v>
      </c>
      <c r="B17" s="13">
        <f>SUM(PistasHG!K7:K18)</f>
        <v>0</v>
      </c>
      <c r="C17" s="13">
        <f>SUM(PistasRF!K7:K18)</f>
        <v>2</v>
      </c>
      <c r="D17" s="13">
        <f t="shared" si="0"/>
        <v>2</v>
      </c>
    </row>
    <row r="18" spans="1:4" x14ac:dyDescent="0.25">
      <c r="A18" s="11" t="s">
        <v>44</v>
      </c>
      <c r="B18" s="13">
        <f>SUM(PistasHG!M7:M18)</f>
        <v>0</v>
      </c>
      <c r="C18" s="13">
        <f>SUM(PistasRF!M7:M18)</f>
        <v>0</v>
      </c>
      <c r="D18" s="13">
        <f t="shared" si="0"/>
        <v>0</v>
      </c>
    </row>
    <row r="19" spans="1:4" x14ac:dyDescent="0.25">
      <c r="A19" s="11" t="s">
        <v>45</v>
      </c>
      <c r="B19" s="13">
        <f>SUM(PistasHG!O7:O18)</f>
        <v>0</v>
      </c>
      <c r="C19" s="13">
        <f>SUM(PistasRF!O7:O18)</f>
        <v>6</v>
      </c>
      <c r="D19" s="13">
        <f t="shared" si="0"/>
        <v>6</v>
      </c>
    </row>
    <row r="20" spans="1:4" x14ac:dyDescent="0.25">
      <c r="A20" s="11" t="s">
        <v>25</v>
      </c>
      <c r="B20" s="12">
        <f>COUNTIF(PistasHG!Q7:Q18,"Long/Longa")</f>
        <v>0</v>
      </c>
      <c r="C20" s="12">
        <f>COUNTIF(PistasRF!Q7:Q18,"Long/Longa")</f>
        <v>2</v>
      </c>
      <c r="D20" s="80"/>
    </row>
    <row r="21" spans="1:4" x14ac:dyDescent="0.25">
      <c r="A21" s="11" t="s">
        <v>26</v>
      </c>
      <c r="B21" s="12">
        <f>COUNTIF(PistasHG!Q7:Q18,"Medium/Média")</f>
        <v>0</v>
      </c>
      <c r="C21" s="12">
        <f>COUNTIF(PistasRF!Q7:Q18,"medium/média")</f>
        <v>4</v>
      </c>
      <c r="D21" s="81"/>
    </row>
    <row r="22" spans="1:4" x14ac:dyDescent="0.25">
      <c r="A22" s="11" t="s">
        <v>27</v>
      </c>
      <c r="B22" s="12">
        <f>COUNTIF(PistasHG!Q7:Q18,"Short/curta")</f>
        <v>0</v>
      </c>
      <c r="C22" s="12">
        <f>COUNTIF(PistasRF!Q7:Q18,"short/Curta")</f>
        <v>6</v>
      </c>
      <c r="D22" s="82"/>
    </row>
  </sheetData>
  <mergeCells count="2">
    <mergeCell ref="D20:D22"/>
    <mergeCell ref="D2:D5"/>
  </mergeCells>
  <pageMargins left="0.51181102362204722" right="0.5118110236220472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D2" sqref="D2:D18"/>
    </sheetView>
  </sheetViews>
  <sheetFormatPr defaultRowHeight="15" x14ac:dyDescent="0.25"/>
  <cols>
    <col min="1" max="1" width="15.5703125" bestFit="1" customWidth="1"/>
  </cols>
  <sheetData>
    <row r="1" spans="1:3" x14ac:dyDescent="0.25">
      <c r="A1" t="s">
        <v>81</v>
      </c>
      <c r="B1" t="s">
        <v>80</v>
      </c>
      <c r="C1" t="s">
        <v>57</v>
      </c>
    </row>
    <row r="2" spans="1:3" x14ac:dyDescent="0.25">
      <c r="A2" t="s">
        <v>58</v>
      </c>
      <c r="B2" t="s">
        <v>75</v>
      </c>
      <c r="C2" t="s">
        <v>57</v>
      </c>
    </row>
    <row r="3" spans="1:3" x14ac:dyDescent="0.25">
      <c r="A3" t="s">
        <v>59</v>
      </c>
      <c r="B3" t="s">
        <v>75</v>
      </c>
      <c r="C3" t="s">
        <v>57</v>
      </c>
    </row>
    <row r="4" spans="1:3" x14ac:dyDescent="0.25">
      <c r="A4" t="s">
        <v>60</v>
      </c>
      <c r="B4" t="s">
        <v>75</v>
      </c>
      <c r="C4" t="s">
        <v>57</v>
      </c>
    </row>
    <row r="5" spans="1:3" x14ac:dyDescent="0.25">
      <c r="A5" t="s">
        <v>61</v>
      </c>
      <c r="B5" t="s">
        <v>72</v>
      </c>
      <c r="C5" t="s">
        <v>57</v>
      </c>
    </row>
    <row r="6" spans="1:3" x14ac:dyDescent="0.25">
      <c r="A6" t="s">
        <v>62</v>
      </c>
      <c r="B6" t="s">
        <v>75</v>
      </c>
      <c r="C6" t="s">
        <v>57</v>
      </c>
    </row>
    <row r="7" spans="1:3" x14ac:dyDescent="0.25">
      <c r="A7" t="s">
        <v>63</v>
      </c>
      <c r="B7" t="s">
        <v>75</v>
      </c>
      <c r="C7" t="s">
        <v>82</v>
      </c>
    </row>
    <row r="8" spans="1:3" x14ac:dyDescent="0.25">
      <c r="A8" t="s">
        <v>64</v>
      </c>
      <c r="B8" t="s">
        <v>75</v>
      </c>
      <c r="C8" t="s">
        <v>82</v>
      </c>
    </row>
    <row r="9" spans="1:3" x14ac:dyDescent="0.25">
      <c r="A9" t="s">
        <v>65</v>
      </c>
      <c r="B9" t="s">
        <v>75</v>
      </c>
      <c r="C9" t="s">
        <v>83</v>
      </c>
    </row>
    <row r="10" spans="1:3" x14ac:dyDescent="0.25">
      <c r="A10" t="s">
        <v>66</v>
      </c>
      <c r="B10" t="s">
        <v>67</v>
      </c>
      <c r="C10" t="s">
        <v>57</v>
      </c>
    </row>
    <row r="11" spans="1:3" x14ac:dyDescent="0.25">
      <c r="A11" t="s">
        <v>68</v>
      </c>
      <c r="B11" t="s">
        <v>71</v>
      </c>
      <c r="C11" t="s">
        <v>57</v>
      </c>
    </row>
    <row r="12" spans="1:3" x14ac:dyDescent="0.25">
      <c r="A12" t="s">
        <v>69</v>
      </c>
      <c r="B12" t="s">
        <v>71</v>
      </c>
      <c r="C12" t="s">
        <v>57</v>
      </c>
    </row>
    <row r="13" spans="1:3" x14ac:dyDescent="0.25">
      <c r="A13" t="s">
        <v>70</v>
      </c>
      <c r="B13" t="s">
        <v>67</v>
      </c>
      <c r="C13" t="s">
        <v>57</v>
      </c>
    </row>
    <row r="14" spans="1:3" x14ac:dyDescent="0.25">
      <c r="A14" t="s">
        <v>73</v>
      </c>
      <c r="B14" t="s">
        <v>67</v>
      </c>
      <c r="C14" t="s">
        <v>57</v>
      </c>
    </row>
    <row r="15" spans="1:3" x14ac:dyDescent="0.25">
      <c r="A15" t="s">
        <v>74</v>
      </c>
      <c r="B15" t="s">
        <v>75</v>
      </c>
      <c r="C15" t="s">
        <v>57</v>
      </c>
    </row>
    <row r="16" spans="1:3" x14ac:dyDescent="0.25">
      <c r="A16" t="s">
        <v>76</v>
      </c>
      <c r="B16" t="s">
        <v>75</v>
      </c>
      <c r="C16" t="s">
        <v>57</v>
      </c>
    </row>
    <row r="17" spans="1:3" x14ac:dyDescent="0.25">
      <c r="A17" t="s">
        <v>77</v>
      </c>
      <c r="B17" t="s">
        <v>75</v>
      </c>
      <c r="C17" t="s">
        <v>84</v>
      </c>
    </row>
    <row r="18" spans="1:3" x14ac:dyDescent="0.25">
      <c r="A18" t="s">
        <v>78</v>
      </c>
      <c r="B18" t="s">
        <v>79</v>
      </c>
      <c r="C18" t="s">
        <v>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4</vt:i4>
      </vt:variant>
    </vt:vector>
  </HeadingPairs>
  <TitlesOfParts>
    <vt:vector size="10" baseType="lpstr">
      <vt:lpstr>PistasHG</vt:lpstr>
      <vt:lpstr>BRIEFING</vt:lpstr>
      <vt:lpstr>PistasRF</vt:lpstr>
      <vt:lpstr>BRIEFING_RF</vt:lpstr>
      <vt:lpstr>Resumos da Etapa</vt:lpstr>
      <vt:lpstr>Plan1</vt:lpstr>
      <vt:lpstr>PistasHG!_GoBack</vt:lpstr>
      <vt:lpstr>BRIEFING!Area_de_impressao</vt:lpstr>
      <vt:lpstr>BRIEFING_RF!Area_de_impressao</vt:lpstr>
      <vt:lpstr>'Resumos da Etapa'!Area_de_impressao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MarcioCustodio</dc:creator>
  <cp:lastModifiedBy>Jose Carlos Belino</cp:lastModifiedBy>
  <cp:lastPrinted>2014-05-31T03:39:11Z</cp:lastPrinted>
  <dcterms:created xsi:type="dcterms:W3CDTF">2014-02-11T17:37:53Z</dcterms:created>
  <dcterms:modified xsi:type="dcterms:W3CDTF">2015-02-26T16:54:51Z</dcterms:modified>
</cp:coreProperties>
</file>